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65488" windowWidth="9720" windowHeight="7140" activeTab="5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<sst xmlns="http://schemas.openxmlformats.org/spreadsheetml/2006/main" count="375" uniqueCount="105">
  <si>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</si>
  <si>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</si>
  <si>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</si>
  <si>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</si>
  <si>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</si>
  <si>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</si>
  <si>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</si>
  <si>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</si>
  <si>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</si>
  <si>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</si>
  <si>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</si>
  <si>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</si>
  <si>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</si>
  <si>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</si>
  <si>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</si>
  <si>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</si>
  <si>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</si>
  <si>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</si>
  <si>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</si>
  <si>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</si>
  <si>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</si>
  <si>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</si>
  <si>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</si>
  <si>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</si>
  <si>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</si>
  <si>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</si>
  <si>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</si>
  <si>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</si>
  <si>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</si>
  <si>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</si>
  <si>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</si>
  <si>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</si>
  <si>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</si>
  <si>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</si>
  <si>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</si>
  <si>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</si>
  <si>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</si>
  <si>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</si>
  <si>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</si>
  <si>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</si>
  <si>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</si>
  <si>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</si>
  <si>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</si>
  <si>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</si>
  <si>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</si>
  <si>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</si>
  <si>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</si>
  <si>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</si>
  <si>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</si>
  <si>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</si>
  <si>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</si>
  <si>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</si>
  <si>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</si>
  <si>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</si>
  <si>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5-6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</si>
  <si>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</si>
  <si>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</si>
  <si>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</si>
  <si>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</si>
  <si>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</si>
  <si>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</si>
  <si>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</si>
  <si>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</si>
  <si>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</si>
  <si>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</si>
  <si>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</si>
  <si>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</si>
  <si>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</si>
  <si>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</si>
  <si>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</si>
  <si>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</si>
  <si>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</si>
  <si>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</si>
  <si>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</si>
  <si>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</si>
  <si>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</si>
  <si>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</si>
  <si>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</si>
  <si>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</si>
  <si>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</si>
  <si>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</si>
  <si>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</si>
  <si>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</si>
  <si>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</si>
  <si>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</si>
  <si>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</si>
  <si>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</si>
  <si>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</si>
  <si>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</si>
  <si>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</si>
  <si>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</si>
  <si>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</si>
  <si>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</si>
  <si>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</si>
  <si>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</si>
  <si>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</si>
  <si>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</si>
  <si>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</si>
  <si>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в.к. 48 кг</t>
  </si>
  <si>
    <t>ГАДЖИВЕРДИЕВ Эльвин Габил оглы</t>
  </si>
  <si>
    <t>05.03.97 1р</t>
  </si>
  <si>
    <t>Москва</t>
  </si>
  <si>
    <t>МГФСО</t>
  </si>
  <si>
    <t>Пучков СА</t>
  </si>
  <si>
    <t>1 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</si>
</sst>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 applyProtection="1">
      <alignment horizontal="center"/>
      <protection hidden="1" locked="0"/>
    </xf>
    <xf numFmtId="0" fontId="16" fillId="0" borderId="28" xfId="0" applyFont="1" applyBorder="1" applyAlignment="1">
      <alignment horizontal="left" vertical="center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72" fillId="0" borderId="27" xfId="0" applyFont="1" applyBorder="1" applyAlignment="1" applyProtection="1">
      <alignment horizontal="center"/>
      <protection hidden="1" locked="0"/>
    </xf>
    <xf numFmtId="0" fontId="72" fillId="0" borderId="30" xfId="0" applyFont="1" applyBorder="1" applyAlignment="1">
      <alignment horizontal="left" vertical="center"/>
    </xf>
    <xf numFmtId="0" fontId="72" fillId="0" borderId="35" xfId="0" applyNumberFormat="1" applyFont="1" applyFill="1" applyBorder="1" applyAlignment="1" applyProtection="1">
      <alignment horizontal="center"/>
      <protection hidden="1" locked="0"/>
    </xf>
    <xf numFmtId="0" fontId="72" fillId="33" borderId="35" xfId="0" applyNumberFormat="1" applyFont="1" applyFill="1" applyBorder="1" applyAlignment="1" applyProtection="1">
      <alignment horizontal="center"/>
      <protection hidden="1" locked="0"/>
    </xf>
    <xf numFmtId="0" fontId="72" fillId="0" borderId="29" xfId="0" applyFont="1" applyBorder="1" applyAlignment="1" applyProtection="1">
      <alignment horizontal="center"/>
      <protection hidden="1" locked="0"/>
    </xf>
    <xf numFmtId="0" fontId="72" fillId="0" borderId="29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 horizontal="center" vertical="center"/>
    </xf>
    <xf numFmtId="0" fontId="74" fillId="0" borderId="2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19" xfId="0" applyNumberFormat="1" applyFont="1" applyBorder="1" applyAlignment="1">
      <alignment horizontal="center"/>
    </xf>
    <xf numFmtId="49" fontId="75" fillId="0" borderId="14" xfId="0" applyNumberFormat="1" applyFont="1" applyBorder="1" applyAlignment="1">
      <alignment horizontal="center"/>
    </xf>
    <xf numFmtId="0" fontId="73" fillId="0" borderId="18" xfId="0" applyFont="1" applyBorder="1" applyAlignment="1">
      <alignment/>
    </xf>
    <xf numFmtId="49" fontId="75" fillId="0" borderId="32" xfId="0" applyNumberFormat="1" applyFont="1" applyBorder="1" applyAlignment="1">
      <alignment horizontal="center"/>
    </xf>
    <xf numFmtId="0" fontId="73" fillId="0" borderId="14" xfId="0" applyFont="1" applyBorder="1" applyAlignment="1">
      <alignment/>
    </xf>
    <xf numFmtId="0" fontId="74" fillId="0" borderId="51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49" fontId="75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49" fontId="75" fillId="0" borderId="53" xfId="0" applyNumberFormat="1" applyFont="1" applyBorder="1" applyAlignment="1">
      <alignment horizontal="center"/>
    </xf>
    <xf numFmtId="0" fontId="76" fillId="0" borderId="0" xfId="42" applyFont="1" applyBorder="1" applyAlignment="1" applyProtection="1">
      <alignment vertical="center" wrapText="1"/>
      <protection/>
    </xf>
    <xf numFmtId="0" fontId="74" fillId="0" borderId="0" xfId="0" applyFont="1" applyAlignment="1">
      <alignment horizontal="left"/>
    </xf>
    <xf numFmtId="0" fontId="1" fillId="37" borderId="42" xfId="0" applyNumberFormat="1" applyFont="1" applyFill="1" applyBorder="1" applyAlignment="1">
      <alignment horizontal="center" vertical="center"/>
    </xf>
    <xf numFmtId="0" fontId="1" fillId="37" borderId="43" xfId="0" applyNumberFormat="1" applyFont="1" applyFill="1" applyBorder="1" applyAlignment="1">
      <alignment horizontal="center" vertical="center"/>
    </xf>
    <xf numFmtId="0" fontId="1" fillId="37" borderId="4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1" fillId="0" borderId="5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wrapText="1"/>
    </xf>
    <xf numFmtId="0" fontId="30" fillId="0" borderId="54" xfId="0" applyFont="1" applyBorder="1" applyAlignment="1">
      <alignment horizontal="center" wrapText="1"/>
    </xf>
    <xf numFmtId="0" fontId="30" fillId="0" borderId="58" xfId="0" applyFont="1" applyBorder="1" applyAlignment="1">
      <alignment horizont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1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0" fillId="0" borderId="61" xfId="0" applyNumberForma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11" fillId="0" borderId="38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61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5" fillId="0" borderId="50" xfId="42" applyFont="1" applyBorder="1" applyAlignment="1" applyProtection="1">
      <alignment horizontal="left" vertical="center" wrapText="1"/>
      <protection/>
    </xf>
    <xf numFmtId="0" fontId="75" fillId="0" borderId="63" xfId="0" applyFont="1" applyBorder="1" applyAlignment="1">
      <alignment horizontal="left" vertical="center" wrapText="1"/>
    </xf>
    <xf numFmtId="0" fontId="76" fillId="0" borderId="64" xfId="42" applyFont="1" applyBorder="1" applyAlignment="1" applyProtection="1">
      <alignment horizontal="center" vertical="center" wrapText="1"/>
      <protection/>
    </xf>
    <xf numFmtId="0" fontId="76" fillId="0" borderId="65" xfId="42" applyFont="1" applyBorder="1" applyAlignment="1" applyProtection="1">
      <alignment horizontal="center" vertical="center" wrapText="1"/>
      <protection/>
    </xf>
    <xf numFmtId="0" fontId="76" fillId="0" borderId="66" xfId="42" applyFont="1" applyBorder="1" applyAlignment="1" applyProtection="1">
      <alignment horizontal="center" vertical="center" wrapText="1"/>
      <protection/>
    </xf>
    <xf numFmtId="0" fontId="76" fillId="0" borderId="67" xfId="42" applyFont="1" applyBorder="1" applyAlignment="1" applyProtection="1">
      <alignment horizontal="center" vertical="center" wrapText="1"/>
      <protection/>
    </xf>
    <xf numFmtId="0" fontId="76" fillId="0" borderId="68" xfId="42" applyFont="1" applyBorder="1" applyAlignment="1" applyProtection="1">
      <alignment horizontal="center" vertical="center" wrapText="1"/>
      <protection/>
    </xf>
    <xf numFmtId="0" fontId="76" fillId="0" borderId="69" xfId="42" applyFont="1" applyBorder="1" applyAlignment="1" applyProtection="1">
      <alignment horizontal="center" vertical="center" wrapText="1"/>
      <protection/>
    </xf>
    <xf numFmtId="0" fontId="75" fillId="0" borderId="56" xfId="42" applyFont="1" applyBorder="1" applyAlignment="1" applyProtection="1">
      <alignment horizontal="left" vertical="center" wrapText="1"/>
      <protection/>
    </xf>
    <xf numFmtId="0" fontId="75" fillId="0" borderId="70" xfId="42" applyFont="1" applyBorder="1" applyAlignment="1" applyProtection="1">
      <alignment horizontal="left" vertical="center" wrapText="1"/>
      <protection/>
    </xf>
    <xf numFmtId="0" fontId="75" fillId="0" borderId="38" xfId="42" applyFont="1" applyBorder="1" applyAlignment="1" applyProtection="1">
      <alignment horizontal="left" vertical="center" wrapText="1"/>
      <protection/>
    </xf>
    <xf numFmtId="0" fontId="75" fillId="0" borderId="71" xfId="42" applyFont="1" applyBorder="1" applyAlignment="1" applyProtection="1">
      <alignment horizontal="left" vertical="center" wrapText="1"/>
      <protection/>
    </xf>
    <xf numFmtId="0" fontId="75" fillId="0" borderId="13" xfId="42" applyFont="1" applyBorder="1" applyAlignment="1" applyProtection="1">
      <alignment horizontal="center" vertical="center" wrapText="1"/>
      <protection/>
    </xf>
    <xf numFmtId="0" fontId="75" fillId="0" borderId="27" xfId="42" applyFont="1" applyBorder="1" applyAlignment="1" applyProtection="1">
      <alignment horizontal="center" vertical="center" wrapText="1"/>
      <protection/>
    </xf>
    <xf numFmtId="0" fontId="75" fillId="0" borderId="55" xfId="42" applyFont="1" applyBorder="1" applyAlignment="1" applyProtection="1">
      <alignment horizontal="center" vertical="center" wrapText="1"/>
      <protection/>
    </xf>
    <xf numFmtId="0" fontId="75" fillId="0" borderId="12" xfId="42" applyFont="1" applyBorder="1" applyAlignment="1" applyProtection="1">
      <alignment horizontal="center" vertical="center" wrapText="1"/>
      <protection/>
    </xf>
    <xf numFmtId="0" fontId="75" fillId="0" borderId="27" xfId="42" applyFont="1" applyBorder="1" applyAlignment="1" applyProtection="1">
      <alignment horizontal="left" vertical="center" wrapText="1"/>
      <protection/>
    </xf>
    <xf numFmtId="0" fontId="75" fillId="0" borderId="63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5" fillId="0" borderId="50" xfId="42" applyFont="1" applyBorder="1" applyAlignment="1" applyProtection="1">
      <alignment horizontal="center" vertical="center" wrapText="1"/>
      <protection/>
    </xf>
    <xf numFmtId="0" fontId="75" fillId="0" borderId="29" xfId="0" applyFont="1" applyBorder="1" applyAlignment="1">
      <alignment horizontal="center" vertical="center" wrapText="1"/>
    </xf>
    <xf numFmtId="0" fontId="75" fillId="0" borderId="29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8" fillId="34" borderId="57" xfId="42" applyFont="1" applyFill="1" applyBorder="1" applyAlignment="1" applyProtection="1">
      <alignment horizontal="center" vertical="center"/>
      <protection/>
    </xf>
    <xf numFmtId="0" fontId="28" fillId="34" borderId="54" xfId="42" applyFont="1" applyFill="1" applyBorder="1" applyAlignment="1" applyProtection="1">
      <alignment horizontal="center" vertical="center"/>
      <protection/>
    </xf>
    <xf numFmtId="0" fontId="28" fillId="34" borderId="58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74" fillId="0" borderId="79" xfId="0" applyNumberFormat="1" applyFont="1" applyBorder="1" applyAlignment="1">
      <alignment horizontal="center" vertical="center" wrapText="1"/>
    </xf>
    <xf numFmtId="0" fontId="74" fillId="0" borderId="80" xfId="0" applyNumberFormat="1" applyFont="1" applyBorder="1" applyAlignment="1">
      <alignment horizontal="center" vertical="center" wrapText="1"/>
    </xf>
    <xf numFmtId="0" fontId="74" fillId="0" borderId="81" xfId="0" applyNumberFormat="1" applyFont="1" applyBorder="1" applyAlignment="1">
      <alignment horizontal="center" vertical="center" wrapText="1"/>
    </xf>
    <xf numFmtId="0" fontId="74" fillId="0" borderId="82" xfId="0" applyNumberFormat="1" applyFont="1" applyBorder="1" applyAlignment="1">
      <alignment horizontal="center" vertical="center" wrapText="1"/>
    </xf>
    <xf numFmtId="0" fontId="74" fillId="0" borderId="83" xfId="0" applyNumberFormat="1" applyFont="1" applyBorder="1" applyAlignment="1">
      <alignment horizontal="center" vertical="center" wrapText="1"/>
    </xf>
    <xf numFmtId="0" fontId="74" fillId="0" borderId="84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5" fillId="0" borderId="56" xfId="42" applyFont="1" applyBorder="1" applyAlignment="1" applyProtection="1">
      <alignment horizontal="center" vertical="center" wrapText="1"/>
      <protection/>
    </xf>
    <xf numFmtId="0" fontId="75" fillId="0" borderId="70" xfId="42" applyFont="1" applyBorder="1" applyAlignment="1" applyProtection="1">
      <alignment horizontal="center" vertical="center" wrapText="1"/>
      <protection/>
    </xf>
    <xf numFmtId="0" fontId="75" fillId="0" borderId="15" xfId="42" applyFont="1" applyBorder="1" applyAlignment="1" applyProtection="1">
      <alignment horizontal="center" vertical="center" wrapText="1"/>
      <protection/>
    </xf>
    <xf numFmtId="0" fontId="75" fillId="0" borderId="85" xfId="42" applyFont="1" applyBorder="1" applyAlignment="1" applyProtection="1">
      <alignment horizontal="center" vertical="center" wrapText="1"/>
      <protection/>
    </xf>
    <xf numFmtId="0" fontId="75" fillId="0" borderId="30" xfId="42" applyFont="1" applyBorder="1" applyAlignment="1" applyProtection="1">
      <alignment horizontal="center" vertical="center" wrapText="1"/>
      <protection/>
    </xf>
    <xf numFmtId="0" fontId="75" fillId="0" borderId="86" xfId="42" applyFont="1" applyBorder="1" applyAlignment="1" applyProtection="1">
      <alignment horizontal="center" vertical="center" wrapText="1"/>
      <protection/>
    </xf>
    <xf numFmtId="0" fontId="75" fillId="0" borderId="38" xfId="42" applyFont="1" applyBorder="1" applyAlignment="1" applyProtection="1">
      <alignment horizontal="center" vertical="center" wrapText="1"/>
      <protection/>
    </xf>
    <xf numFmtId="0" fontId="75" fillId="0" borderId="7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4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87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0" fillId="0" borderId="87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4" fillId="0" borderId="87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0" fillId="0" borderId="87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7" fillId="0" borderId="46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9" fillId="38" borderId="24" xfId="0" applyFont="1" applyFill="1" applyBorder="1" applyAlignment="1" applyProtection="1">
      <alignment horizontal="center" vertical="center"/>
      <protection hidden="1" locked="0"/>
    </xf>
    <xf numFmtId="0" fontId="9" fillId="38" borderId="25" xfId="0" applyFont="1" applyFill="1" applyBorder="1" applyAlignment="1" applyProtection="1">
      <alignment horizontal="center" vertical="center"/>
      <protection hidden="1" locked="0"/>
    </xf>
    <xf numFmtId="0" fontId="9" fillId="38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/>
    </xf>
    <xf numFmtId="0" fontId="30" fillId="0" borderId="13" xfId="0" applyFont="1" applyBorder="1" applyAlignment="1" applyProtection="1">
      <alignment horizontal="center" vertical="center" textRotation="90" wrapText="1"/>
      <protection/>
    </xf>
    <xf numFmtId="0" fontId="30" fillId="0" borderId="12" xfId="0" applyFont="1" applyBorder="1" applyAlignment="1" applyProtection="1">
      <alignment horizontal="center" vertical="center" textRotation="90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0" fillId="0" borderId="13" xfId="0" applyFont="1" applyBorder="1" applyAlignment="1" applyProtection="1">
      <alignment vertical="center" textRotation="90" wrapText="1"/>
      <protection/>
    </xf>
    <xf numFmtId="0" fontId="30" fillId="0" borderId="12" xfId="0" applyFont="1" applyBorder="1" applyAlignment="1" applyProtection="1">
      <alignment vertical="center" textRotation="90" wrapText="1"/>
      <protection/>
    </xf>
    <xf numFmtId="0" fontId="32" fillId="34" borderId="57" xfId="42" applyFont="1" applyFill="1" applyBorder="1" applyAlignment="1" applyProtection="1">
      <alignment horizontal="center" vertical="center"/>
      <protection/>
    </xf>
    <xf numFmtId="0" fontId="32" fillId="34" borderId="54" xfId="42" applyFont="1" applyFill="1" applyBorder="1" applyAlignment="1" applyProtection="1">
      <alignment horizontal="center" vertical="center"/>
      <protection/>
    </xf>
    <xf numFmtId="0" fontId="32" fillId="34" borderId="58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9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90" xfId="42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9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75" fillId="0" borderId="46" xfId="0" applyNumberFormat="1" applyFont="1" applyBorder="1" applyAlignment="1">
      <alignment horizontal="center" vertical="center" wrapText="1"/>
    </xf>
    <xf numFmtId="0" fontId="75" fillId="0" borderId="36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42" applyFont="1" applyBorder="1" applyAlignment="1" applyProtection="1">
      <alignment horizontal="center" vertical="center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39" borderId="61" xfId="0" applyFont="1" applyFill="1" applyBorder="1" applyAlignment="1">
      <alignment horizontal="center" vertical="center" wrapText="1"/>
    </xf>
    <xf numFmtId="49" fontId="0" fillId="0" borderId="61" xfId="42" applyNumberFormat="1" applyFont="1" applyBorder="1" applyAlignment="1" applyProtection="1">
      <alignment horizontal="center" vertical="center" wrapText="1"/>
      <protection/>
    </xf>
    <xf numFmtId="0" fontId="4" fillId="0" borderId="61" xfId="42" applyFont="1" applyFill="1" applyBorder="1" applyAlignment="1" applyProtection="1">
      <alignment horizontal="left" vertical="center" wrapText="1"/>
      <protection/>
    </xf>
    <xf numFmtId="0" fontId="4" fillId="0" borderId="61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40" borderId="61" xfId="0" applyFont="1" applyFill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9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34" borderId="57" xfId="42" applyFont="1" applyFill="1" applyBorder="1" applyAlignment="1" applyProtection="1">
      <alignment horizontal="center" vertical="center" wrapText="1"/>
      <protection/>
    </xf>
    <xf numFmtId="0" fontId="11" fillId="34" borderId="54" xfId="42" applyFont="1" applyFill="1" applyBorder="1" applyAlignment="1" applyProtection="1">
      <alignment horizontal="center" vertical="center" wrapText="1"/>
      <protection/>
    </xf>
    <xf numFmtId="0" fontId="11" fillId="34" borderId="58" xfId="42" applyFont="1" applyFill="1" applyBorder="1" applyAlignment="1" applyProtection="1">
      <alignment horizontal="center" vertical="center" wrapText="1"/>
      <protection/>
    </xf>
    <xf numFmtId="0" fontId="0" fillId="0" borderId="96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9" borderId="57" xfId="42" applyFont="1" applyFill="1" applyBorder="1" applyAlignment="1" applyProtection="1">
      <alignment horizontal="center" vertical="center"/>
      <protection/>
    </xf>
    <xf numFmtId="0" fontId="24" fillId="39" borderId="54" xfId="42" applyFont="1" applyFill="1" applyBorder="1" applyAlignment="1" applyProtection="1">
      <alignment horizontal="center" vertical="center"/>
      <protection/>
    </xf>
    <xf numFmtId="0" fontId="24" fillId="39" borderId="58" xfId="42" applyFont="1" applyFill="1" applyBorder="1" applyAlignment="1" applyProtection="1">
      <alignment horizontal="center" vertical="center"/>
      <protection/>
    </xf>
    <xf numFmtId="0" fontId="25" fillId="40" borderId="56" xfId="0" applyFont="1" applyFill="1" applyBorder="1" applyAlignment="1">
      <alignment horizontal="center" vertical="center"/>
    </xf>
    <xf numFmtId="0" fontId="25" fillId="40" borderId="28" xfId="0" applyFont="1" applyFill="1" applyBorder="1" applyAlignment="1">
      <alignment horizontal="center" vertical="center"/>
    </xf>
    <xf numFmtId="0" fontId="25" fillId="40" borderId="38" xfId="0" applyFont="1" applyFill="1" applyBorder="1" applyAlignment="1">
      <alignment horizontal="center" vertical="center"/>
    </xf>
    <xf numFmtId="0" fontId="26" fillId="0" borderId="9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5" fillId="39" borderId="56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38" xfId="0" applyFont="1" applyFill="1" applyBorder="1" applyAlignment="1">
      <alignment horizontal="center" vertical="center"/>
    </xf>
    <xf numFmtId="0" fontId="25" fillId="41" borderId="56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41" borderId="38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71" xfId="42" applyFont="1" applyBorder="1" applyAlignment="1" applyProtection="1">
      <alignment horizontal="center" vertical="center"/>
      <protection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3" fillId="0" borderId="56" xfId="42" applyFont="1" applyBorder="1" applyAlignment="1" applyProtection="1">
      <alignment horizontal="center" vertical="center" wrapText="1"/>
      <protection/>
    </xf>
    <xf numFmtId="0" fontId="3" fillId="0" borderId="96" xfId="42" applyFont="1" applyBorder="1" applyAlignment="1" applyProtection="1">
      <alignment horizontal="center" vertical="center" wrapText="1"/>
      <protection/>
    </xf>
    <xf numFmtId="0" fontId="3" fillId="0" borderId="70" xfId="42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4</xdr:row>
      <xdr:rowOff>66675</xdr:rowOff>
    </xdr:to>
    <xdr:pic>
      <xdr:nvPicPr>
        <xdr:cNvPr id="2" name="Рисунок 2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0</xdr:colOff>
      <xdr:row>1</xdr:row>
      <xdr:rowOff>0</xdr:rowOff>
    </xdr:from>
    <xdr:to>
      <xdr:col>87</xdr:col>
      <xdr:colOff>0</xdr:colOff>
      <xdr:row>4</xdr:row>
      <xdr:rowOff>66675</xdr:rowOff>
    </xdr:to>
    <xdr:pic>
      <xdr:nvPicPr>
        <xdr:cNvPr id="3" name="Рисунок 3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3048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7</xdr:col>
      <xdr:colOff>1219200</xdr:colOff>
      <xdr:row>1</xdr:row>
      <xdr:rowOff>400050</xdr:rowOff>
    </xdr:to>
    <xdr:pic>
      <xdr:nvPicPr>
        <xdr:cNvPr id="4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7620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104775</xdr:rowOff>
    </xdr:from>
    <xdr:to>
      <xdr:col>20</xdr:col>
      <xdr:colOff>285750</xdr:colOff>
      <xdr:row>2</xdr:row>
      <xdr:rowOff>190500</xdr:rowOff>
    </xdr:to>
    <xdr:pic>
      <xdr:nvPicPr>
        <xdr:cNvPr id="2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6;&#1086;&#1089;&#1089;&#1080;&#1080;%20&#1087;&#1086;%20%20%20&#1073;&#1086;&#1077;&#1074;&#1086;&#1084;&#1091;%20&#1089;&#1072;&#1084;&#1073;&#1086;%20&#1089;&#1088;&#1077;&#1076;&#1080;%20&#1102;&#1085;&#1080;&#1086;&#1088;&#1086;&#1074;%201996-1997&#1075;.&#1088;.%20&#1050;&#1089;&#1090;&#1086;&#1074;&#1086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ВК</v>
          </cell>
        </row>
        <row r="9">
          <cell r="G9" t="str">
            <v>Д.П.Сапунов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Н.Н.Малышев</v>
          </cell>
        </row>
        <row r="8"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1">
      <selection activeCell="CK8" sqref="CK8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224" t="s">
        <v>23</v>
      </c>
      <c r="B1" s="225"/>
      <c r="C1" s="225"/>
      <c r="D1" s="225"/>
      <c r="E1" s="225"/>
      <c r="F1" s="225"/>
      <c r="G1" s="225"/>
      <c r="H1" s="225"/>
    </row>
    <row r="2" spans="1:9" ht="33.75" customHeight="1" thickBot="1">
      <c r="A2" s="229" t="str">
        <f>'[1]реквизиты'!$A$2</f>
        <v>Первенство России по БОЕВОМУ САМБО среди юниоров 1996-1997г.р .</v>
      </c>
      <c r="B2" s="230"/>
      <c r="C2" s="230"/>
      <c r="D2" s="230"/>
      <c r="E2" s="230"/>
      <c r="F2" s="230"/>
      <c r="G2" s="230"/>
      <c r="H2" s="230"/>
      <c r="I2" s="3"/>
    </row>
    <row r="3" spans="1:12" ht="17.25" customHeight="1">
      <c r="A3" s="231" t="str">
        <f>'пр.хода'!C4</f>
        <v>12-15 октября 2016.                                                         г.Кстово</v>
      </c>
      <c r="B3" s="231"/>
      <c r="C3" s="231"/>
      <c r="D3" s="231"/>
      <c r="E3" s="231"/>
      <c r="F3" s="231"/>
      <c r="G3" s="231"/>
      <c r="H3" s="231"/>
      <c r="I3" s="13"/>
      <c r="J3" s="13"/>
      <c r="K3" s="13"/>
      <c r="L3" s="14"/>
    </row>
    <row r="4" spans="4:11" ht="19.5" customHeight="1" thickBot="1">
      <c r="D4" s="226" t="s">
        <v>98</v>
      </c>
      <c r="E4" s="226"/>
      <c r="F4" s="226"/>
      <c r="I4" s="15"/>
      <c r="J4" s="15"/>
      <c r="K4" s="15"/>
    </row>
    <row r="5" spans="1:85" ht="12.75" customHeight="1">
      <c r="A5" s="211" t="s">
        <v>4</v>
      </c>
      <c r="B5" s="223" t="s">
        <v>5</v>
      </c>
      <c r="C5" s="211" t="s">
        <v>6</v>
      </c>
      <c r="D5" s="211" t="s">
        <v>7</v>
      </c>
      <c r="E5" s="232" t="s">
        <v>8</v>
      </c>
      <c r="F5" s="232"/>
      <c r="G5" s="211" t="s">
        <v>10</v>
      </c>
      <c r="H5" s="211" t="s">
        <v>9</v>
      </c>
      <c r="N5" t="s">
        <v>55</v>
      </c>
      <c r="O5">
        <v>1</v>
      </c>
      <c r="Q5" t="s">
        <v>56</v>
      </c>
      <c r="R5">
        <v>2</v>
      </c>
      <c r="T5" t="s">
        <v>57</v>
      </c>
      <c r="U5">
        <v>3</v>
      </c>
      <c r="W5" t="s">
        <v>58</v>
      </c>
      <c r="X5">
        <v>4</v>
      </c>
      <c r="Z5" t="s">
        <v>59</v>
      </c>
      <c r="AA5">
        <v>5</v>
      </c>
      <c r="AC5" t="s">
        <v>60</v>
      </c>
      <c r="AD5">
        <v>6</v>
      </c>
      <c r="AF5" t="s">
        <v>61</v>
      </c>
      <c r="AG5">
        <v>7</v>
      </c>
      <c r="AI5" t="s">
        <v>62</v>
      </c>
      <c r="AJ5">
        <v>8</v>
      </c>
      <c r="AL5" t="s">
        <v>63</v>
      </c>
      <c r="AM5">
        <v>9</v>
      </c>
      <c r="AO5" t="s">
        <v>95</v>
      </c>
      <c r="AP5">
        <v>10</v>
      </c>
      <c r="AR5" t="s">
        <v>64</v>
      </c>
      <c r="AS5">
        <v>11</v>
      </c>
      <c r="AU5" t="s">
        <v>65</v>
      </c>
      <c r="AV5">
        <v>12</v>
      </c>
      <c r="AX5" s="125" t="s">
        <v>55</v>
      </c>
      <c r="AY5" s="126">
        <v>1</v>
      </c>
      <c r="AZ5" s="127"/>
      <c r="BA5" s="125" t="s">
        <v>56</v>
      </c>
      <c r="BB5" s="126">
        <v>2</v>
      </c>
      <c r="BC5" s="127"/>
      <c r="BD5" s="125" t="s">
        <v>57</v>
      </c>
      <c r="BE5" s="126">
        <v>3</v>
      </c>
      <c r="BF5" s="127"/>
      <c r="BG5" s="125" t="s">
        <v>58</v>
      </c>
      <c r="BH5" s="126">
        <v>4</v>
      </c>
      <c r="BI5" s="127"/>
      <c r="BJ5" s="125" t="s">
        <v>59</v>
      </c>
      <c r="BK5" s="126">
        <v>5</v>
      </c>
      <c r="BL5" s="127"/>
      <c r="BM5" s="125" t="s">
        <v>60</v>
      </c>
      <c r="BN5" s="126">
        <v>6</v>
      </c>
      <c r="BO5" s="127"/>
      <c r="BP5" s="125" t="s">
        <v>61</v>
      </c>
      <c r="BQ5" s="126">
        <v>7</v>
      </c>
      <c r="BR5" s="127"/>
      <c r="BS5" s="125" t="s">
        <v>62</v>
      </c>
      <c r="BT5" s="126">
        <v>8</v>
      </c>
      <c r="BU5" s="127"/>
      <c r="BV5" s="125" t="s">
        <v>63</v>
      </c>
      <c r="BW5" s="126">
        <v>9</v>
      </c>
      <c r="BX5" s="127"/>
      <c r="BY5" s="125" t="str">
        <f>AO5</f>
        <v>Р.Т</v>
      </c>
      <c r="BZ5" s="126">
        <v>10</v>
      </c>
      <c r="CA5" s="127"/>
      <c r="CB5" s="125" t="str">
        <f>AR5</f>
        <v>Р.Х</v>
      </c>
      <c r="CC5" s="126">
        <v>11</v>
      </c>
      <c r="CD5" s="127"/>
      <c r="CE5" s="125" t="str">
        <f>AU5</f>
        <v>Том</v>
      </c>
      <c r="CF5" s="126">
        <v>12</v>
      </c>
      <c r="CG5" s="127"/>
    </row>
    <row r="6" spans="1:85" ht="13.5" thickBot="1">
      <c r="A6" s="211"/>
      <c r="B6" s="223"/>
      <c r="C6" s="211"/>
      <c r="D6" s="211"/>
      <c r="E6" s="232"/>
      <c r="F6" s="232"/>
      <c r="G6" s="211"/>
      <c r="H6" s="211"/>
      <c r="N6" t="s">
        <v>66</v>
      </c>
      <c r="O6" t="s">
        <v>67</v>
      </c>
      <c r="P6" t="s">
        <v>68</v>
      </c>
      <c r="Q6" t="s">
        <v>66</v>
      </c>
      <c r="R6" t="s">
        <v>67</v>
      </c>
      <c r="S6" t="s">
        <v>68</v>
      </c>
      <c r="T6" t="s">
        <v>66</v>
      </c>
      <c r="U6" t="s">
        <v>67</v>
      </c>
      <c r="V6" t="s">
        <v>68</v>
      </c>
      <c r="W6" t="s">
        <v>66</v>
      </c>
      <c r="X6" t="s">
        <v>67</v>
      </c>
      <c r="Y6" t="s">
        <v>68</v>
      </c>
      <c r="Z6" t="s">
        <v>66</v>
      </c>
      <c r="AA6" t="s">
        <v>67</v>
      </c>
      <c r="AB6" t="s">
        <v>68</v>
      </c>
      <c r="AC6" t="s">
        <v>66</v>
      </c>
      <c r="AD6" t="s">
        <v>67</v>
      </c>
      <c r="AE6" t="s">
        <v>68</v>
      </c>
      <c r="AF6" t="s">
        <v>66</v>
      </c>
      <c r="AG6" t="s">
        <v>67</v>
      </c>
      <c r="AH6" t="s">
        <v>68</v>
      </c>
      <c r="AI6" t="s">
        <v>66</v>
      </c>
      <c r="AJ6" t="s">
        <v>67</v>
      </c>
      <c r="AK6" t="s">
        <v>68</v>
      </c>
      <c r="AL6" t="s">
        <v>66</v>
      </c>
      <c r="AM6" t="s">
        <v>67</v>
      </c>
      <c r="AN6" t="s">
        <v>68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  <c r="AU6" t="s">
        <v>66</v>
      </c>
      <c r="AV6" t="s">
        <v>67</v>
      </c>
      <c r="AW6" t="s">
        <v>68</v>
      </c>
      <c r="AX6" s="131" t="s">
        <v>66</v>
      </c>
      <c r="AY6" s="132" t="s">
        <v>67</v>
      </c>
      <c r="AZ6" s="133" t="s">
        <v>68</v>
      </c>
      <c r="BA6" s="131" t="s">
        <v>66</v>
      </c>
      <c r="BB6" s="132" t="s">
        <v>67</v>
      </c>
      <c r="BC6" s="133" t="s">
        <v>68</v>
      </c>
      <c r="BD6" s="131" t="s">
        <v>66</v>
      </c>
      <c r="BE6" s="132" t="s">
        <v>67</v>
      </c>
      <c r="BF6" s="133" t="s">
        <v>68</v>
      </c>
      <c r="BG6" s="131" t="s">
        <v>66</v>
      </c>
      <c r="BH6" s="132" t="s">
        <v>67</v>
      </c>
      <c r="BI6" s="133" t="s">
        <v>68</v>
      </c>
      <c r="BJ6" s="131" t="s">
        <v>66</v>
      </c>
      <c r="BK6" s="132" t="s">
        <v>67</v>
      </c>
      <c r="BL6" s="133" t="s">
        <v>68</v>
      </c>
      <c r="BM6" s="131" t="s">
        <v>66</v>
      </c>
      <c r="BN6" s="132" t="s">
        <v>67</v>
      </c>
      <c r="BO6" s="133" t="s">
        <v>68</v>
      </c>
      <c r="BP6" s="131" t="s">
        <v>66</v>
      </c>
      <c r="BQ6" s="132" t="s">
        <v>67</v>
      </c>
      <c r="BR6" s="133" t="s">
        <v>68</v>
      </c>
      <c r="BS6" s="131" t="s">
        <v>66</v>
      </c>
      <c r="BT6" s="132" t="s">
        <v>67</v>
      </c>
      <c r="BU6" s="133" t="s">
        <v>68</v>
      </c>
      <c r="BV6" s="131" t="s">
        <v>66</v>
      </c>
      <c r="BW6" s="132" t="s">
        <v>67</v>
      </c>
      <c r="BX6" s="133" t="s">
        <v>68</v>
      </c>
      <c r="BY6" s="131" t="s">
        <v>66</v>
      </c>
      <c r="BZ6" s="132" t="s">
        <v>67</v>
      </c>
      <c r="CA6" s="133" t="s">
        <v>68</v>
      </c>
      <c r="CB6" s="131" t="s">
        <v>66</v>
      </c>
      <c r="CC6" s="132" t="s">
        <v>67</v>
      </c>
      <c r="CD6" s="133" t="s">
        <v>68</v>
      </c>
      <c r="CE6" s="131" t="s">
        <v>66</v>
      </c>
      <c r="CF6" s="132" t="s">
        <v>67</v>
      </c>
      <c r="CG6" s="133" t="s">
        <v>68</v>
      </c>
    </row>
    <row r="7" spans="1:85" ht="12.75" customHeight="1">
      <c r="A7" s="214" t="s">
        <v>69</v>
      </c>
      <c r="B7" s="215">
        <v>1</v>
      </c>
      <c r="C7" s="212" t="s">
        <v>99</v>
      </c>
      <c r="D7" s="212" t="s">
        <v>100</v>
      </c>
      <c r="E7" s="212" t="s">
        <v>101</v>
      </c>
      <c r="F7" s="212" t="s">
        <v>102</v>
      </c>
      <c r="G7" s="212"/>
      <c r="H7" s="212" t="s">
        <v>103</v>
      </c>
      <c r="J7" s="204"/>
      <c r="K7" s="208" t="str">
        <f>MID(D7,FIND(" ",D7)+1,3)</f>
        <v>1р</v>
      </c>
      <c r="L7" s="209" t="str">
        <f>MID(F7,FIND(,F7),3)</f>
        <v>МГФ</v>
      </c>
      <c r="M7" s="204">
        <f>BA7+BB7+BC7+BD7+BE7+BF7+BG7+BH7+BI7+BJ7+BK7+BL7+BM7+BN7+BO7+BP7+BQ7+BR7+BS7+BT7+BU7+BV7+BW7+BX7+BY7+BZ7+CA7+CB7+CC7+CD7+CE7+CF7+CG7+AX7+AY7+AZ7</f>
        <v>0</v>
      </c>
      <c r="N7" s="204" t="str">
        <f>IF(AND(N$6=K7,$N$5=L7),"1","0")</f>
        <v>0</v>
      </c>
      <c r="O7" s="204" t="str">
        <f>IF(AND(O$6=K7,$N$5=L7),"1","0")</f>
        <v>0</v>
      </c>
      <c r="P7" s="204" t="str">
        <f>IF(AND(P$6=K7,$N$5=L7),"1","0")</f>
        <v>0</v>
      </c>
      <c r="Q7" s="204" t="str">
        <f>IF(AND($Q$5=L7,Q$6=K7),"1","0")</f>
        <v>0</v>
      </c>
      <c r="R7" s="204" t="str">
        <f>IF(AND($Q$5=L7,R$6=K7),"1","0")</f>
        <v>0</v>
      </c>
      <c r="S7" s="204" t="str">
        <f>IF(AND($Q$5=L7,S$6=K7),"1","0")</f>
        <v>0</v>
      </c>
      <c r="T7" s="204" t="str">
        <f>IF(AND(T$5=$L7,T$6=$K7),"1","0")</f>
        <v>0</v>
      </c>
      <c r="U7" s="204" t="str">
        <f>IF(AND(T$5=$L7,U$6=$K7),"1","0")</f>
        <v>0</v>
      </c>
      <c r="V7" s="204" t="str">
        <f>IF(AND(T$5=$L7,V$6=$K7),"1","0")</f>
        <v>0</v>
      </c>
      <c r="W7" s="204" t="str">
        <f>IF(AND(W$5=$L7,W$6=$K7),"1","0")</f>
        <v>0</v>
      </c>
      <c r="X7" s="204" t="str">
        <f>IF(AND(W$5=$L7,X$6=$K7),"1","0")</f>
        <v>0</v>
      </c>
      <c r="Y7" s="204" t="str">
        <f>IF(AND(W$5=$L7,Y$6=$K7),"1","0")</f>
        <v>0</v>
      </c>
      <c r="Z7" s="204" t="str">
        <f>IF(AND(Z$5=$L7,Z$6=$K7),"1","0")</f>
        <v>0</v>
      </c>
      <c r="AA7" s="204" t="str">
        <f>IF(AND(Z$5=$L7,AA$6=$K7),"1","0")</f>
        <v>0</v>
      </c>
      <c r="AB7" s="204" t="str">
        <f>IF(AND(Z$5=$L7,AB$6=$K7),"1","0")</f>
        <v>0</v>
      </c>
      <c r="AC7" s="204" t="str">
        <f>IF(AND(AC$5=$L7,AC$6=$K7),"1","0")</f>
        <v>0</v>
      </c>
      <c r="AD7" s="204" t="str">
        <f>IF(AND(AC$5=$L7,AD$6=$K7),"1","0")</f>
        <v>0</v>
      </c>
      <c r="AE7" s="204" t="str">
        <f>IF(AND(AC$5=$L7,AE$6=$K7),"1","0")</f>
        <v>0</v>
      </c>
      <c r="AF7" s="204" t="str">
        <f>IF(AND(AF$5=$L7,AF$6=$K7),"1","0")</f>
        <v>0</v>
      </c>
      <c r="AG7" s="204" t="str">
        <f>IF(AND(AF$5=$L7,AG$6=$K7),"1","0")</f>
        <v>0</v>
      </c>
      <c r="AH7" s="204" t="str">
        <f>IF(AND(AF$5=$L7,AH$6=$K7),"1","0")</f>
        <v>0</v>
      </c>
      <c r="AI7" s="204" t="str">
        <f>IF(AND(AI$5=$L7,AI$6=$K7),"1","0")</f>
        <v>0</v>
      </c>
      <c r="AJ7" s="204" t="str">
        <f>IF(AND(AI$5=$L7,AJ$6=$K7),"1","0")</f>
        <v>0</v>
      </c>
      <c r="AK7" s="204" t="str">
        <f>IF(AND(AI$5=$L7,AK$6=$K7),"1","0")</f>
        <v>0</v>
      </c>
      <c r="AL7" s="204" t="str">
        <f>IF(AND(AL$5=$L7,AL$6=$K7),"1","0")</f>
        <v>0</v>
      </c>
      <c r="AM7" s="204" t="str">
        <f>IF(AND(AL$5=$L7,AM$6=$K7),"1","0")</f>
        <v>0</v>
      </c>
      <c r="AN7" s="204" t="str">
        <f>IF(AND(AL$5=$L7,AN$6=$K7),"1","0")</f>
        <v>0</v>
      </c>
      <c r="AO7" s="204" t="str">
        <f>IF(AND(AO$5=$L7,AO$6=$K7),"1","0")</f>
        <v>0</v>
      </c>
      <c r="AP7" s="204" t="str">
        <f>IF(AND(AO$5=$L7,AP$6=$K7),"1","0")</f>
        <v>0</v>
      </c>
      <c r="AQ7" s="204" t="str">
        <f>IF(AND(AO$5=$L7,AQ$6=$K7),"1","0")</f>
        <v>0</v>
      </c>
      <c r="AR7" s="204" t="str">
        <f>IF(AND(AR$5=$L7,AR$6=$K7),"1","0")</f>
        <v>0</v>
      </c>
      <c r="AS7" s="204" t="str">
        <f>IF(AND(AR$5=$L7,AS$6=$K7),"1","0")</f>
        <v>0</v>
      </c>
      <c r="AT7" s="204" t="str">
        <f>IF(AND(AR$5=$L7,AT$6=$K7),"1","0")</f>
        <v>0</v>
      </c>
      <c r="AU7" s="204" t="str">
        <f>IF(AND(AU$5=$L7,AU$6=$K7),"1","0")</f>
        <v>0</v>
      </c>
      <c r="AV7" s="204" t="str">
        <f>IF(AND(AU$5=$L7,AV$6=$K7),"1","0")</f>
        <v>0</v>
      </c>
      <c r="AW7" s="204" t="str">
        <f>IF(AND(AU$5=$L7,AW$6=$K7),"1","0")</f>
        <v>0</v>
      </c>
      <c r="AX7" s="206" t="str">
        <f aca="true" t="shared" si="0" ref="AX7:CG7">_xlfn.IFERROR(N7,0)</f>
        <v>0</v>
      </c>
      <c r="AY7" s="207" t="str">
        <f t="shared" si="0"/>
        <v>0</v>
      </c>
      <c r="AZ7" s="205" t="str">
        <f t="shared" si="0"/>
        <v>0</v>
      </c>
      <c r="BA7" s="206" t="str">
        <f t="shared" si="0"/>
        <v>0</v>
      </c>
      <c r="BB7" s="207" t="str">
        <f t="shared" si="0"/>
        <v>0</v>
      </c>
      <c r="BC7" s="205" t="str">
        <f t="shared" si="0"/>
        <v>0</v>
      </c>
      <c r="BD7" s="206" t="str">
        <f t="shared" si="0"/>
        <v>0</v>
      </c>
      <c r="BE7" s="207" t="str">
        <f t="shared" si="0"/>
        <v>0</v>
      </c>
      <c r="BF7" s="205" t="str">
        <f t="shared" si="0"/>
        <v>0</v>
      </c>
      <c r="BG7" s="206" t="str">
        <f t="shared" si="0"/>
        <v>0</v>
      </c>
      <c r="BH7" s="207" t="str">
        <f t="shared" si="0"/>
        <v>0</v>
      </c>
      <c r="BI7" s="205" t="str">
        <f t="shared" si="0"/>
        <v>0</v>
      </c>
      <c r="BJ7" s="206" t="str">
        <f t="shared" si="0"/>
        <v>0</v>
      </c>
      <c r="BK7" s="207" t="str">
        <f t="shared" si="0"/>
        <v>0</v>
      </c>
      <c r="BL7" s="205" t="str">
        <f t="shared" si="0"/>
        <v>0</v>
      </c>
      <c r="BM7" s="206" t="str">
        <f t="shared" si="0"/>
        <v>0</v>
      </c>
      <c r="BN7" s="207" t="str">
        <f t="shared" si="0"/>
        <v>0</v>
      </c>
      <c r="BO7" s="205" t="str">
        <f t="shared" si="0"/>
        <v>0</v>
      </c>
      <c r="BP7" s="206" t="str">
        <f t="shared" si="0"/>
        <v>0</v>
      </c>
      <c r="BQ7" s="207" t="str">
        <f t="shared" si="0"/>
        <v>0</v>
      </c>
      <c r="BR7" s="205" t="str">
        <f t="shared" si="0"/>
        <v>0</v>
      </c>
      <c r="BS7" s="206" t="str">
        <f t="shared" si="0"/>
        <v>0</v>
      </c>
      <c r="BT7" s="207" t="str">
        <f t="shared" si="0"/>
        <v>0</v>
      </c>
      <c r="BU7" s="205" t="str">
        <f t="shared" si="0"/>
        <v>0</v>
      </c>
      <c r="BV7" s="206" t="str">
        <f t="shared" si="0"/>
        <v>0</v>
      </c>
      <c r="BW7" s="207" t="str">
        <f t="shared" si="0"/>
        <v>0</v>
      </c>
      <c r="BX7" s="205" t="str">
        <f t="shared" si="0"/>
        <v>0</v>
      </c>
      <c r="BY7" s="206" t="str">
        <f t="shared" si="0"/>
        <v>0</v>
      </c>
      <c r="BZ7" s="207" t="str">
        <f t="shared" si="0"/>
        <v>0</v>
      </c>
      <c r="CA7" s="205" t="str">
        <f t="shared" si="0"/>
        <v>0</v>
      </c>
      <c r="CB7" s="206" t="str">
        <f t="shared" si="0"/>
        <v>0</v>
      </c>
      <c r="CC7" s="207" t="str">
        <f t="shared" si="0"/>
        <v>0</v>
      </c>
      <c r="CD7" s="205" t="str">
        <f t="shared" si="0"/>
        <v>0</v>
      </c>
      <c r="CE7" s="206" t="str">
        <f t="shared" si="0"/>
        <v>0</v>
      </c>
      <c r="CF7" s="207" t="str">
        <f t="shared" si="0"/>
        <v>0</v>
      </c>
      <c r="CG7" s="205" t="str">
        <f t="shared" si="0"/>
        <v>0</v>
      </c>
    </row>
    <row r="8" spans="1:85" ht="12.75">
      <c r="A8" s="214"/>
      <c r="B8" s="216"/>
      <c r="C8" s="213"/>
      <c r="D8" s="213"/>
      <c r="E8" s="213"/>
      <c r="F8" s="213"/>
      <c r="G8" s="213"/>
      <c r="H8" s="213"/>
      <c r="J8" s="204"/>
      <c r="K8" s="208"/>
      <c r="L8" s="210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198"/>
      <c r="AY8" s="202"/>
      <c r="AZ8" s="200"/>
      <c r="BA8" s="198"/>
      <c r="BB8" s="202"/>
      <c r="BC8" s="200"/>
      <c r="BD8" s="198"/>
      <c r="BE8" s="202"/>
      <c r="BF8" s="200"/>
      <c r="BG8" s="198"/>
      <c r="BH8" s="202"/>
      <c r="BI8" s="200"/>
      <c r="BJ8" s="198"/>
      <c r="BK8" s="202"/>
      <c r="BL8" s="200"/>
      <c r="BM8" s="198"/>
      <c r="BN8" s="202"/>
      <c r="BO8" s="200"/>
      <c r="BP8" s="198"/>
      <c r="BQ8" s="202"/>
      <c r="BR8" s="200"/>
      <c r="BS8" s="198"/>
      <c r="BT8" s="202"/>
      <c r="BU8" s="200"/>
      <c r="BV8" s="198"/>
      <c r="BW8" s="202"/>
      <c r="BX8" s="200"/>
      <c r="BY8" s="198"/>
      <c r="BZ8" s="202"/>
      <c r="CA8" s="200"/>
      <c r="CB8" s="198"/>
      <c r="CC8" s="202"/>
      <c r="CD8" s="200"/>
      <c r="CE8" s="198"/>
      <c r="CF8" s="202"/>
      <c r="CG8" s="200"/>
    </row>
    <row r="9" spans="1:85" ht="12.75" customHeight="1">
      <c r="A9" s="214" t="s">
        <v>70</v>
      </c>
      <c r="B9" s="215"/>
      <c r="C9" s="221"/>
      <c r="D9" s="212"/>
      <c r="E9" s="212"/>
      <c r="F9" s="212"/>
      <c r="G9" s="219"/>
      <c r="H9" s="212"/>
      <c r="J9" s="204"/>
      <c r="K9" s="208" t="e">
        <f>MID(D9,FIND(" ",D9)+1,3)</f>
        <v>#VALUE!</v>
      </c>
      <c r="L9" s="209">
        <f>MID(F9,FIND(,F9),3)</f>
      </c>
      <c r="M9" s="204">
        <f>BA9+BB9+BC9+BD9+BE9+BF9+BG9+BH9+BI9+BJ9+BK9+BL9+BM9+BN9+BO9+BP9+BQ9+BR9+BS9+BT9+BU9+BV9+BW9+BX9+BY9+BZ9+CA9+CB9+CC9+CD9+CE9+CF9+CG9+AX9+AY9+AZ9</f>
        <v>0</v>
      </c>
      <c r="N9" s="204" t="e">
        <f>IF(AND(N$6=K9,N$5=L9),"1","0")</f>
        <v>#VALUE!</v>
      </c>
      <c r="O9" s="204" t="e">
        <f>IF(AND(O$6=K9,$N$5=L9),"1","0")</f>
        <v>#VALUE!</v>
      </c>
      <c r="P9" s="204" t="e">
        <f>IF(AND(P$6=K9,$N$5=L9),"1","0")</f>
        <v>#VALUE!</v>
      </c>
      <c r="Q9" s="204" t="e">
        <f>IF(AND($Q$5=L9,Q$6=K9),"1","0")</f>
        <v>#VALUE!</v>
      </c>
      <c r="R9" s="204" t="e">
        <f>IF(AND($Q$5=L9,R$6=K9),"1","0")</f>
        <v>#VALUE!</v>
      </c>
      <c r="S9" s="204" t="e">
        <f>IF(AND($Q$5=L9,S$6=K9),"1","0")</f>
        <v>#VALUE!</v>
      </c>
      <c r="T9" s="204" t="e">
        <f>IF(AND(T$5=$L9,T$6=$K9),"1","0")</f>
        <v>#VALUE!</v>
      </c>
      <c r="U9" s="204" t="e">
        <f>IF(AND(T$5=$L9,U$6=$K9),"1","0")</f>
        <v>#VALUE!</v>
      </c>
      <c r="V9" s="204" t="e">
        <f>IF(AND(T$5=$L9,V$6=$K9),"1","0")</f>
        <v>#VALUE!</v>
      </c>
      <c r="W9" s="204" t="e">
        <f>IF(AND(W$5=$L9,W$6=$K9),"1","0")</f>
        <v>#VALUE!</v>
      </c>
      <c r="X9" s="204" t="e">
        <f>IF(AND(W$5=$L9,X$6=$K9),"1","0")</f>
        <v>#VALUE!</v>
      </c>
      <c r="Y9" s="204" t="e">
        <f>IF(AND(W$5=$L9,Y$6=$K9),"1","0")</f>
        <v>#VALUE!</v>
      </c>
      <c r="Z9" s="204" t="e">
        <f>IF(AND(Z$5=$L9,Z$6=$K9),"1","0")</f>
        <v>#VALUE!</v>
      </c>
      <c r="AA9" s="204" t="e">
        <f>IF(AND(Z$5=$L9,AA$6=$K9),"1","0")</f>
        <v>#VALUE!</v>
      </c>
      <c r="AB9" s="204" t="e">
        <f>IF(AND(Z$5=$L9,AB$6=$K9),"1","0")</f>
        <v>#VALUE!</v>
      </c>
      <c r="AC9" s="204" t="e">
        <f>IF(AND(AC$5=$L9,AC$6=$K9),"1","0")</f>
        <v>#VALUE!</v>
      </c>
      <c r="AD9" s="204" t="e">
        <f>IF(AND(AC$5=$L9,AD$6=$K9),"1","0")</f>
        <v>#VALUE!</v>
      </c>
      <c r="AE9" s="204" t="e">
        <f>IF(AND(AC$5=$L9,AE$6=$K9),"1","0")</f>
        <v>#VALUE!</v>
      </c>
      <c r="AF9" s="204" t="e">
        <f>IF(AND(AF$5=$L9,AF$6=$K9),"1","0")</f>
        <v>#VALUE!</v>
      </c>
      <c r="AG9" s="204" t="e">
        <f>IF(AND(AF$5=$L9,AG$6=$K9),"1","0")</f>
        <v>#VALUE!</v>
      </c>
      <c r="AH9" s="204" t="e">
        <f>IF(AND(AF$5=$L9,AH$6=$K9),"1","0")</f>
        <v>#VALUE!</v>
      </c>
      <c r="AI9" s="204" t="e">
        <f>IF(AND(AI$5=$L9,AI$6=$K9),"1","0")</f>
        <v>#VALUE!</v>
      </c>
      <c r="AJ9" s="204" t="e">
        <f>IF(AND(AI$5=$L9,AJ$6=$K9),"1","0")</f>
        <v>#VALUE!</v>
      </c>
      <c r="AK9" s="204" t="e">
        <f>IF(AND(AI$5=$L9,AK$6=$K9),"1","0")</f>
        <v>#VALUE!</v>
      </c>
      <c r="AL9" s="204" t="e">
        <f>IF(AND(AL$5=$L9,AL$6=$K9),"1","0")</f>
        <v>#VALUE!</v>
      </c>
      <c r="AM9" s="204" t="e">
        <f>IF(AND(AL$5=$L9,AM$6=$K9),"1","0")</f>
        <v>#VALUE!</v>
      </c>
      <c r="AN9" s="204" t="e">
        <f>IF(AND(AL$5=$L9,AN$6=$K9),"1","0")</f>
        <v>#VALUE!</v>
      </c>
      <c r="AO9" s="204" t="e">
        <f>IF(AND(AO$5=$L9,AO$6=$K9),"1","0")</f>
        <v>#VALUE!</v>
      </c>
      <c r="AP9" s="204" t="e">
        <f>IF(AND(AO$5=$L9,AP$6=$K9),"1","0")</f>
        <v>#VALUE!</v>
      </c>
      <c r="AQ9" s="204" t="e">
        <f>IF(AND(AO$5=$L9,AQ$6=$K9),"1","0")</f>
        <v>#VALUE!</v>
      </c>
      <c r="AR9" s="204" t="e">
        <f>IF(AND(AR$5=$L9,AR$6=$K9),"1","0")</f>
        <v>#VALUE!</v>
      </c>
      <c r="AS9" s="204" t="e">
        <f>IF(AND(AR$5=$L9,AS$6=$K9),"1","0")</f>
        <v>#VALUE!</v>
      </c>
      <c r="AT9" s="204" t="e">
        <f>IF(AND(AR$5=$L9,AT$6=$K9),"1","0")</f>
        <v>#VALUE!</v>
      </c>
      <c r="AU9" s="204" t="e">
        <f>IF(AND(AU$5=$L9,AU$6=$K9),"1","0")</f>
        <v>#VALUE!</v>
      </c>
      <c r="AV9" s="204" t="e">
        <f>IF(AND(AU$5=$L9,AV$6=$K9),"1","0")</f>
        <v>#VALUE!</v>
      </c>
      <c r="AW9" s="204" t="e">
        <f>IF(AND(AU$5=$L9,AW$6=$K9),"1","0")</f>
        <v>#VALUE!</v>
      </c>
      <c r="AX9" s="198">
        <f aca="true" t="shared" si="1" ref="AX9:CG9">_xlfn.IFERROR(N9,0)</f>
        <v>0</v>
      </c>
      <c r="AY9" s="202">
        <f t="shared" si="1"/>
        <v>0</v>
      </c>
      <c r="AZ9" s="200">
        <f t="shared" si="1"/>
        <v>0</v>
      </c>
      <c r="BA9" s="198">
        <f t="shared" si="1"/>
        <v>0</v>
      </c>
      <c r="BB9" s="202">
        <f t="shared" si="1"/>
        <v>0</v>
      </c>
      <c r="BC9" s="200">
        <f t="shared" si="1"/>
        <v>0</v>
      </c>
      <c r="BD9" s="198">
        <f t="shared" si="1"/>
        <v>0</v>
      </c>
      <c r="BE9" s="202">
        <f t="shared" si="1"/>
        <v>0</v>
      </c>
      <c r="BF9" s="200">
        <f t="shared" si="1"/>
        <v>0</v>
      </c>
      <c r="BG9" s="198">
        <f t="shared" si="1"/>
        <v>0</v>
      </c>
      <c r="BH9" s="202">
        <f t="shared" si="1"/>
        <v>0</v>
      </c>
      <c r="BI9" s="200">
        <f t="shared" si="1"/>
        <v>0</v>
      </c>
      <c r="BJ9" s="198">
        <f t="shared" si="1"/>
        <v>0</v>
      </c>
      <c r="BK9" s="202">
        <f t="shared" si="1"/>
        <v>0</v>
      </c>
      <c r="BL9" s="200">
        <f t="shared" si="1"/>
        <v>0</v>
      </c>
      <c r="BM9" s="198">
        <f t="shared" si="1"/>
        <v>0</v>
      </c>
      <c r="BN9" s="202">
        <f t="shared" si="1"/>
        <v>0</v>
      </c>
      <c r="BO9" s="200">
        <f t="shared" si="1"/>
        <v>0</v>
      </c>
      <c r="BP9" s="198">
        <f t="shared" si="1"/>
        <v>0</v>
      </c>
      <c r="BQ9" s="202">
        <f t="shared" si="1"/>
        <v>0</v>
      </c>
      <c r="BR9" s="200">
        <f t="shared" si="1"/>
        <v>0</v>
      </c>
      <c r="BS9" s="198">
        <f t="shared" si="1"/>
        <v>0</v>
      </c>
      <c r="BT9" s="202">
        <f t="shared" si="1"/>
        <v>0</v>
      </c>
      <c r="BU9" s="200">
        <f t="shared" si="1"/>
        <v>0</v>
      </c>
      <c r="BV9" s="198">
        <f t="shared" si="1"/>
        <v>0</v>
      </c>
      <c r="BW9" s="202">
        <f t="shared" si="1"/>
        <v>0</v>
      </c>
      <c r="BX9" s="200">
        <f t="shared" si="1"/>
        <v>0</v>
      </c>
      <c r="BY9" s="198">
        <f t="shared" si="1"/>
        <v>0</v>
      </c>
      <c r="BZ9" s="202">
        <f t="shared" si="1"/>
        <v>0</v>
      </c>
      <c r="CA9" s="200">
        <f t="shared" si="1"/>
        <v>0</v>
      </c>
      <c r="CB9" s="198">
        <f t="shared" si="1"/>
        <v>0</v>
      </c>
      <c r="CC9" s="202">
        <f t="shared" si="1"/>
        <v>0</v>
      </c>
      <c r="CD9" s="200">
        <f t="shared" si="1"/>
        <v>0</v>
      </c>
      <c r="CE9" s="198">
        <f t="shared" si="1"/>
        <v>0</v>
      </c>
      <c r="CF9" s="202">
        <f t="shared" si="1"/>
        <v>0</v>
      </c>
      <c r="CG9" s="200">
        <f t="shared" si="1"/>
        <v>0</v>
      </c>
    </row>
    <row r="10" spans="1:85" ht="12.75" customHeight="1">
      <c r="A10" s="214"/>
      <c r="B10" s="216"/>
      <c r="C10" s="222"/>
      <c r="D10" s="213"/>
      <c r="E10" s="213"/>
      <c r="F10" s="213"/>
      <c r="G10" s="220"/>
      <c r="H10" s="213"/>
      <c r="J10" s="204"/>
      <c r="K10" s="208"/>
      <c r="L10" s="210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198"/>
      <c r="AY10" s="202"/>
      <c r="AZ10" s="200"/>
      <c r="BA10" s="198"/>
      <c r="BB10" s="202"/>
      <c r="BC10" s="200"/>
      <c r="BD10" s="198"/>
      <c r="BE10" s="202"/>
      <c r="BF10" s="200"/>
      <c r="BG10" s="198"/>
      <c r="BH10" s="202"/>
      <c r="BI10" s="200"/>
      <c r="BJ10" s="198"/>
      <c r="BK10" s="202"/>
      <c r="BL10" s="200"/>
      <c r="BM10" s="198"/>
      <c r="BN10" s="202"/>
      <c r="BO10" s="200"/>
      <c r="BP10" s="198"/>
      <c r="BQ10" s="202"/>
      <c r="BR10" s="200"/>
      <c r="BS10" s="198"/>
      <c r="BT10" s="202"/>
      <c r="BU10" s="200"/>
      <c r="BV10" s="198"/>
      <c r="BW10" s="202"/>
      <c r="BX10" s="200"/>
      <c r="BY10" s="198"/>
      <c r="BZ10" s="202"/>
      <c r="CA10" s="200"/>
      <c r="CB10" s="198"/>
      <c r="CC10" s="202"/>
      <c r="CD10" s="200"/>
      <c r="CE10" s="198"/>
      <c r="CF10" s="202"/>
      <c r="CG10" s="200"/>
    </row>
    <row r="11" spans="1:85" ht="12.75" customHeight="1">
      <c r="A11" s="214" t="s">
        <v>71</v>
      </c>
      <c r="B11" s="215"/>
      <c r="C11" s="221"/>
      <c r="D11" s="212"/>
      <c r="E11" s="212"/>
      <c r="F11" s="212"/>
      <c r="G11" s="217"/>
      <c r="H11" s="212"/>
      <c r="J11" s="204"/>
      <c r="K11" s="208" t="e">
        <f>MID(D11,FIND(" ",D11)+1,3)</f>
        <v>#VALUE!</v>
      </c>
      <c r="L11" s="209">
        <f>MID(F11,FIND(,F11),3)</f>
      </c>
      <c r="M11" s="204">
        <f>BA11+BB11+BC11+BD11+BE11+BF11+BG11+BH11+BI11+BJ11+BK11+BL11+BM11+BN11+BO11+BP11+BQ11+BR11+BS11+BT11+BU11+BV11+BW11+BX11+BY11+BZ11+CA11+CB11+CC11+CD11+CE11+CF11+CG11+AX11+AY11+AZ11</f>
        <v>0</v>
      </c>
      <c r="N11" s="204" t="e">
        <f>IF(AND(N$6=K11,N$5=L11),"1","0")</f>
        <v>#VALUE!</v>
      </c>
      <c r="O11" s="204" t="e">
        <f>IF(AND(O$6=K11,$N$5=L11),"1","0")</f>
        <v>#VALUE!</v>
      </c>
      <c r="P11" s="204" t="e">
        <f>IF(AND(P$6=K11,$N$5=L11),"1","0")</f>
        <v>#VALUE!</v>
      </c>
      <c r="Q11" s="204" t="e">
        <f>IF(AND($Q$5=L11,Q$6=K11),"1","0")</f>
        <v>#VALUE!</v>
      </c>
      <c r="R11" s="204" t="e">
        <f>IF(AND($Q$5=L11,R$6=K11),"1","0")</f>
        <v>#VALUE!</v>
      </c>
      <c r="S11" s="204" t="e">
        <f>IF(AND($Q$5=L11,S$6=K11),"1","0")</f>
        <v>#VALUE!</v>
      </c>
      <c r="T11" s="204" t="e">
        <f>IF(AND(T$5=$L11,T$6=$K11),"1","0")</f>
        <v>#VALUE!</v>
      </c>
      <c r="U11" s="204" t="e">
        <f>IF(AND(T$5=$L11,U$6=$K11),"1","0")</f>
        <v>#VALUE!</v>
      </c>
      <c r="V11" s="204" t="e">
        <f>IF(AND(T$5=$L11,V$6=$K11),"1","0")</f>
        <v>#VALUE!</v>
      </c>
      <c r="W11" s="204" t="e">
        <f>IF(AND(W$5=$L11,W$6=$K11),"1","0")</f>
        <v>#VALUE!</v>
      </c>
      <c r="X11" s="204" t="e">
        <f>IF(AND(W$5=$L11,X$6=$K11),"1","0")</f>
        <v>#VALUE!</v>
      </c>
      <c r="Y11" s="204" t="e">
        <f>IF(AND(W$5=$L11,Y$6=$K11),"1","0")</f>
        <v>#VALUE!</v>
      </c>
      <c r="Z11" s="204" t="e">
        <f>IF(AND(Z$5=$L11,Z$6=$K11),"1","0")</f>
        <v>#VALUE!</v>
      </c>
      <c r="AA11" s="204" t="e">
        <f>IF(AND(Z$5=$L11,AA$6=$K11),"1","0")</f>
        <v>#VALUE!</v>
      </c>
      <c r="AB11" s="204" t="e">
        <f>IF(AND(Z$5=$L11,AB$6=$K11),"1","0")</f>
        <v>#VALUE!</v>
      </c>
      <c r="AC11" s="204" t="e">
        <f>IF(AND(AC$5=$L11,AC$6=$K11),"1","0")</f>
        <v>#VALUE!</v>
      </c>
      <c r="AD11" s="204" t="e">
        <f>IF(AND(AC$5=$L11,AD$6=$K11),"1","0")</f>
        <v>#VALUE!</v>
      </c>
      <c r="AE11" s="204" t="e">
        <f>IF(AND(AC$5=$L11,AE$6=$K11),"1","0")</f>
        <v>#VALUE!</v>
      </c>
      <c r="AF11" s="204" t="e">
        <f>IF(AND(AF$5=$L11,AF$6=$K11),"1","0")</f>
        <v>#VALUE!</v>
      </c>
      <c r="AG11" s="204" t="e">
        <f>IF(AND(AF$5=$L11,AG$6=$K11),"1","0")</f>
        <v>#VALUE!</v>
      </c>
      <c r="AH11" s="204" t="e">
        <f>IF(AND(AF$5=$L11,AH$6=$K11),"1","0")</f>
        <v>#VALUE!</v>
      </c>
      <c r="AI11" s="204" t="e">
        <f>IF(AND(AI$5=$L11,AI$6=$K11),"1","0")</f>
        <v>#VALUE!</v>
      </c>
      <c r="AJ11" s="204" t="e">
        <f>IF(AND(AI$5=$L11,AJ$6=$K11),"1","0")</f>
        <v>#VALUE!</v>
      </c>
      <c r="AK11" s="204" t="e">
        <f>IF(AND(AI$5=$L11,AK$6=$K11),"1","0")</f>
        <v>#VALUE!</v>
      </c>
      <c r="AL11" s="204" t="e">
        <f>IF(AND(AL$5=$L11,AL$6=$K11),"1","0")</f>
        <v>#VALUE!</v>
      </c>
      <c r="AM11" s="204" t="e">
        <f>IF(AND(AL$5=$L11,AM$6=$K11),"1","0")</f>
        <v>#VALUE!</v>
      </c>
      <c r="AN11" s="204" t="e">
        <f>IF(AND(AL$5=$L11,AN$6=$K11),"1","0")</f>
        <v>#VALUE!</v>
      </c>
      <c r="AO11" s="204" t="e">
        <f>IF(AND(AO$5=$L11,AO$6=$K11),"1","0")</f>
        <v>#VALUE!</v>
      </c>
      <c r="AP11" s="204" t="e">
        <f>IF(AND(AO$5=$L11,AP$6=$K11),"1","0")</f>
        <v>#VALUE!</v>
      </c>
      <c r="AQ11" s="204" t="e">
        <f>IF(AND(AO$5=$L11,AQ$6=$K11),"1","0")</f>
        <v>#VALUE!</v>
      </c>
      <c r="AR11" s="204" t="e">
        <f>IF(AND(AR$5=$L11,AR$6=$K11),"1","0")</f>
        <v>#VALUE!</v>
      </c>
      <c r="AS11" s="204" t="e">
        <f>IF(AND(AR$5=$L11,AS$6=$K11),"1","0")</f>
        <v>#VALUE!</v>
      </c>
      <c r="AT11" s="204" t="e">
        <f>IF(AND(AR$5=$L11,AT$6=$K11),"1","0")</f>
        <v>#VALUE!</v>
      </c>
      <c r="AU11" s="204" t="e">
        <f>IF(AND(AU$5=$L11,AU$6=$K11),"1","0")</f>
        <v>#VALUE!</v>
      </c>
      <c r="AV11" s="204" t="e">
        <f>IF(AND(AU$5=$L11,AV$6=$K11),"1","0")</f>
        <v>#VALUE!</v>
      </c>
      <c r="AW11" s="204" t="e">
        <f>IF(AND(AU$5=$L11,AW$6=$K11),"1","0")</f>
        <v>#VALUE!</v>
      </c>
      <c r="AX11" s="198">
        <f aca="true" t="shared" si="2" ref="AX11:CG11">_xlfn.IFERROR(N11,0)</f>
        <v>0</v>
      </c>
      <c r="AY11" s="202">
        <f t="shared" si="2"/>
        <v>0</v>
      </c>
      <c r="AZ11" s="200">
        <f t="shared" si="2"/>
        <v>0</v>
      </c>
      <c r="BA11" s="198">
        <f t="shared" si="2"/>
        <v>0</v>
      </c>
      <c r="BB11" s="202">
        <f t="shared" si="2"/>
        <v>0</v>
      </c>
      <c r="BC11" s="200">
        <f t="shared" si="2"/>
        <v>0</v>
      </c>
      <c r="BD11" s="198">
        <f t="shared" si="2"/>
        <v>0</v>
      </c>
      <c r="BE11" s="202">
        <f t="shared" si="2"/>
        <v>0</v>
      </c>
      <c r="BF11" s="200">
        <f t="shared" si="2"/>
        <v>0</v>
      </c>
      <c r="BG11" s="198">
        <f t="shared" si="2"/>
        <v>0</v>
      </c>
      <c r="BH11" s="202">
        <f t="shared" si="2"/>
        <v>0</v>
      </c>
      <c r="BI11" s="200">
        <f t="shared" si="2"/>
        <v>0</v>
      </c>
      <c r="BJ11" s="198">
        <f t="shared" si="2"/>
        <v>0</v>
      </c>
      <c r="BK11" s="202">
        <f t="shared" si="2"/>
        <v>0</v>
      </c>
      <c r="BL11" s="200">
        <f t="shared" si="2"/>
        <v>0</v>
      </c>
      <c r="BM11" s="198">
        <f t="shared" si="2"/>
        <v>0</v>
      </c>
      <c r="BN11" s="202">
        <f t="shared" si="2"/>
        <v>0</v>
      </c>
      <c r="BO11" s="200">
        <f t="shared" si="2"/>
        <v>0</v>
      </c>
      <c r="BP11" s="198">
        <f t="shared" si="2"/>
        <v>0</v>
      </c>
      <c r="BQ11" s="202">
        <f t="shared" si="2"/>
        <v>0</v>
      </c>
      <c r="BR11" s="200">
        <f t="shared" si="2"/>
        <v>0</v>
      </c>
      <c r="BS11" s="198">
        <f t="shared" si="2"/>
        <v>0</v>
      </c>
      <c r="BT11" s="202">
        <f t="shared" si="2"/>
        <v>0</v>
      </c>
      <c r="BU11" s="200">
        <f t="shared" si="2"/>
        <v>0</v>
      </c>
      <c r="BV11" s="198">
        <f t="shared" si="2"/>
        <v>0</v>
      </c>
      <c r="BW11" s="202">
        <f t="shared" si="2"/>
        <v>0</v>
      </c>
      <c r="BX11" s="200">
        <f t="shared" si="2"/>
        <v>0</v>
      </c>
      <c r="BY11" s="198">
        <f t="shared" si="2"/>
        <v>0</v>
      </c>
      <c r="BZ11" s="202">
        <f t="shared" si="2"/>
        <v>0</v>
      </c>
      <c r="CA11" s="200">
        <f t="shared" si="2"/>
        <v>0</v>
      </c>
      <c r="CB11" s="198">
        <f t="shared" si="2"/>
        <v>0</v>
      </c>
      <c r="CC11" s="202">
        <f t="shared" si="2"/>
        <v>0</v>
      </c>
      <c r="CD11" s="200">
        <f t="shared" si="2"/>
        <v>0</v>
      </c>
      <c r="CE11" s="198">
        <f t="shared" si="2"/>
        <v>0</v>
      </c>
      <c r="CF11" s="202">
        <f t="shared" si="2"/>
        <v>0</v>
      </c>
      <c r="CG11" s="200">
        <f t="shared" si="2"/>
        <v>0</v>
      </c>
    </row>
    <row r="12" spans="1:85" ht="15" customHeight="1">
      <c r="A12" s="214"/>
      <c r="B12" s="216"/>
      <c r="C12" s="222"/>
      <c r="D12" s="213"/>
      <c r="E12" s="213"/>
      <c r="F12" s="213"/>
      <c r="G12" s="218"/>
      <c r="H12" s="213"/>
      <c r="J12" s="204"/>
      <c r="K12" s="208"/>
      <c r="L12" s="210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198"/>
      <c r="AY12" s="202"/>
      <c r="AZ12" s="200"/>
      <c r="BA12" s="198"/>
      <c r="BB12" s="202"/>
      <c r="BC12" s="200"/>
      <c r="BD12" s="198"/>
      <c r="BE12" s="202"/>
      <c r="BF12" s="200"/>
      <c r="BG12" s="198"/>
      <c r="BH12" s="202"/>
      <c r="BI12" s="200"/>
      <c r="BJ12" s="198"/>
      <c r="BK12" s="202"/>
      <c r="BL12" s="200"/>
      <c r="BM12" s="198"/>
      <c r="BN12" s="202"/>
      <c r="BO12" s="200"/>
      <c r="BP12" s="198"/>
      <c r="BQ12" s="202"/>
      <c r="BR12" s="200"/>
      <c r="BS12" s="198"/>
      <c r="BT12" s="202"/>
      <c r="BU12" s="200"/>
      <c r="BV12" s="198"/>
      <c r="BW12" s="202"/>
      <c r="BX12" s="200"/>
      <c r="BY12" s="198"/>
      <c r="BZ12" s="202"/>
      <c r="CA12" s="200"/>
      <c r="CB12" s="198"/>
      <c r="CC12" s="202"/>
      <c r="CD12" s="200"/>
      <c r="CE12" s="198"/>
      <c r="CF12" s="202"/>
      <c r="CG12" s="200"/>
    </row>
    <row r="13" spans="1:85" ht="12.75" customHeight="1">
      <c r="A13" s="214" t="s">
        <v>72</v>
      </c>
      <c r="B13" s="215"/>
      <c r="C13" s="221"/>
      <c r="D13" s="212"/>
      <c r="E13" s="212"/>
      <c r="F13" s="212"/>
      <c r="G13" s="217"/>
      <c r="H13" s="212"/>
      <c r="J13" s="204"/>
      <c r="K13" s="208" t="e">
        <f>MID(D13,FIND(" ",D13)+1,3)</f>
        <v>#VALUE!</v>
      </c>
      <c r="L13" s="209">
        <f>MID(F13,FIND(,F13),3)</f>
      </c>
      <c r="M13" s="204">
        <f>BA13+BB13+BC13+BD13+BE13+BF13+BG13+BH13+BI13+BJ13+BK13+BL13+BM13+BN13+BO13+BP13+BQ13+BR13+BS13+BT13+BU13+BV13+BW13+BX13+BY13+BZ13+CA13+CB13+CC13+CD13+CE13+CF13+CG13+AX13+AY13+AZ13</f>
        <v>0</v>
      </c>
      <c r="N13" s="204" t="e">
        <f>IF(AND(N$6=K13,N$5=L13),"1","0")</f>
        <v>#VALUE!</v>
      </c>
      <c r="O13" s="204" t="e">
        <f>IF(AND(O$6=K13,$N$5=L13),"1","0")</f>
        <v>#VALUE!</v>
      </c>
      <c r="P13" s="204" t="e">
        <f>IF(AND(P$6=K13,$N$5=L13),"1","0")</f>
        <v>#VALUE!</v>
      </c>
      <c r="Q13" s="204" t="e">
        <f>IF(AND($Q$5=L13,Q$6=K13),"1","0")</f>
        <v>#VALUE!</v>
      </c>
      <c r="R13" s="204" t="e">
        <f>IF(AND($Q$5=L13,R$6=K13),"1","0")</f>
        <v>#VALUE!</v>
      </c>
      <c r="S13" s="204" t="e">
        <f>IF(AND($Q$5=L13,S$6=K13),"1","0")</f>
        <v>#VALUE!</v>
      </c>
      <c r="T13" s="204" t="e">
        <f>IF(AND(T$5=$L13,T$6=$K13),"1","0")</f>
        <v>#VALUE!</v>
      </c>
      <c r="U13" s="204" t="e">
        <f>IF(AND(T$5=$L13,U$6=$K13),"1","0")</f>
        <v>#VALUE!</v>
      </c>
      <c r="V13" s="204" t="e">
        <f>IF(AND(T$5=$L13,V$6=$K13),"1","0")</f>
        <v>#VALUE!</v>
      </c>
      <c r="W13" s="204" t="e">
        <f>IF(AND(W$5=$L13,W$6=$K13),"1","0")</f>
        <v>#VALUE!</v>
      </c>
      <c r="X13" s="204" t="e">
        <f>IF(AND(W$5=$L13,X$6=$K13),"1","0")</f>
        <v>#VALUE!</v>
      </c>
      <c r="Y13" s="204" t="e">
        <f>IF(AND(W$5=$L13,Y$6=$K13),"1","0")</f>
        <v>#VALUE!</v>
      </c>
      <c r="Z13" s="204" t="e">
        <f>IF(AND(Z$5=$L13,Z$6=$K13),"1","0")</f>
        <v>#VALUE!</v>
      </c>
      <c r="AA13" s="204" t="e">
        <f>IF(AND(Z$5=$L13,AA$6=$K13),"1","0")</f>
        <v>#VALUE!</v>
      </c>
      <c r="AB13" s="204" t="e">
        <f>IF(AND(Z$5=$L13,AB$6=$K13),"1","0")</f>
        <v>#VALUE!</v>
      </c>
      <c r="AC13" s="204" t="e">
        <f>IF(AND(AC$5=$L13,AC$6=$K13),"1","0")</f>
        <v>#VALUE!</v>
      </c>
      <c r="AD13" s="204" t="e">
        <f>IF(AND(AC$5=$L13,AD$6=$K13),"1","0")</f>
        <v>#VALUE!</v>
      </c>
      <c r="AE13" s="204" t="e">
        <f>IF(AND(AC$5=$L13,AE$6=$K13),"1","0")</f>
        <v>#VALUE!</v>
      </c>
      <c r="AF13" s="204" t="e">
        <f>IF(AND(AF$5=$L13,AF$6=$K13),"1","0")</f>
        <v>#VALUE!</v>
      </c>
      <c r="AG13" s="204" t="e">
        <f>IF(AND(AF$5=$L13,AG$6=$K13),"1","0")</f>
        <v>#VALUE!</v>
      </c>
      <c r="AH13" s="204" t="e">
        <f>IF(AND(AF$5=$L13,AH$6=$K13),"1","0")</f>
        <v>#VALUE!</v>
      </c>
      <c r="AI13" s="204" t="e">
        <f>IF(AND(AI$5=$L13,AI$6=$K13),"1","0")</f>
        <v>#VALUE!</v>
      </c>
      <c r="AJ13" s="204" t="e">
        <f>IF(AND(AI$5=$L13,AJ$6=$K13),"1","0")</f>
        <v>#VALUE!</v>
      </c>
      <c r="AK13" s="204" t="e">
        <f>IF(AND(AI$5=$L13,AK$6=$K13),"1","0")</f>
        <v>#VALUE!</v>
      </c>
      <c r="AL13" s="204" t="e">
        <f>IF(AND(AL$5=$L13,AL$6=$K13),"1","0")</f>
        <v>#VALUE!</v>
      </c>
      <c r="AM13" s="204" t="e">
        <f>IF(AND(AL$5=$L13,AM$6=$K13),"1","0")</f>
        <v>#VALUE!</v>
      </c>
      <c r="AN13" s="204" t="e">
        <f>IF(AND(AL$5=$L13,AN$6=$K13),"1","0")</f>
        <v>#VALUE!</v>
      </c>
      <c r="AO13" s="204" t="e">
        <f>IF(AND(AO$5=$L13,AO$6=$K13),"1","0")</f>
        <v>#VALUE!</v>
      </c>
      <c r="AP13" s="204" t="e">
        <f>IF(AND(AO$5=$L13,AP$6=$K13),"1","0")</f>
        <v>#VALUE!</v>
      </c>
      <c r="AQ13" s="204" t="e">
        <f>IF(AND(AO$5=$L13,AQ$6=$K13),"1","0")</f>
        <v>#VALUE!</v>
      </c>
      <c r="AR13" s="204" t="e">
        <f>IF(AND(AR$5=$L13,AR$6=$K13),"1","0")</f>
        <v>#VALUE!</v>
      </c>
      <c r="AS13" s="204" t="e">
        <f>IF(AND(AR$5=$L13,AS$6=$K13),"1","0")</f>
        <v>#VALUE!</v>
      </c>
      <c r="AT13" s="204" t="e">
        <f>IF(AND(AR$5=$L13,AT$6=$K13),"1","0")</f>
        <v>#VALUE!</v>
      </c>
      <c r="AU13" s="204" t="e">
        <f>IF(AND(AU$5=$L13,AU$6=$K13),"1","0")</f>
        <v>#VALUE!</v>
      </c>
      <c r="AV13" s="204" t="e">
        <f>IF(AND(AU$5=$L13,AV$6=$K13),"1","0")</f>
        <v>#VALUE!</v>
      </c>
      <c r="AW13" s="204" t="e">
        <f>IF(AND(AU$5=$L13,AW$6=$K13),"1","0")</f>
        <v>#VALUE!</v>
      </c>
      <c r="AX13" s="198">
        <f aca="true" t="shared" si="3" ref="AX13:CG13">_xlfn.IFERROR(N13,0)</f>
        <v>0</v>
      </c>
      <c r="AY13" s="202">
        <f t="shared" si="3"/>
        <v>0</v>
      </c>
      <c r="AZ13" s="200">
        <f t="shared" si="3"/>
        <v>0</v>
      </c>
      <c r="BA13" s="198">
        <f t="shared" si="3"/>
        <v>0</v>
      </c>
      <c r="BB13" s="202">
        <f t="shared" si="3"/>
        <v>0</v>
      </c>
      <c r="BC13" s="200">
        <f t="shared" si="3"/>
        <v>0</v>
      </c>
      <c r="BD13" s="198">
        <f t="shared" si="3"/>
        <v>0</v>
      </c>
      <c r="BE13" s="202">
        <f t="shared" si="3"/>
        <v>0</v>
      </c>
      <c r="BF13" s="200">
        <f t="shared" si="3"/>
        <v>0</v>
      </c>
      <c r="BG13" s="198">
        <f t="shared" si="3"/>
        <v>0</v>
      </c>
      <c r="BH13" s="202">
        <f t="shared" si="3"/>
        <v>0</v>
      </c>
      <c r="BI13" s="200">
        <f t="shared" si="3"/>
        <v>0</v>
      </c>
      <c r="BJ13" s="198">
        <f t="shared" si="3"/>
        <v>0</v>
      </c>
      <c r="BK13" s="202">
        <f t="shared" si="3"/>
        <v>0</v>
      </c>
      <c r="BL13" s="200">
        <f t="shared" si="3"/>
        <v>0</v>
      </c>
      <c r="BM13" s="198">
        <f t="shared" si="3"/>
        <v>0</v>
      </c>
      <c r="BN13" s="202">
        <f t="shared" si="3"/>
        <v>0</v>
      </c>
      <c r="BO13" s="200">
        <f t="shared" si="3"/>
        <v>0</v>
      </c>
      <c r="BP13" s="198">
        <f t="shared" si="3"/>
        <v>0</v>
      </c>
      <c r="BQ13" s="202">
        <f t="shared" si="3"/>
        <v>0</v>
      </c>
      <c r="BR13" s="200">
        <f t="shared" si="3"/>
        <v>0</v>
      </c>
      <c r="BS13" s="198">
        <f t="shared" si="3"/>
        <v>0</v>
      </c>
      <c r="BT13" s="202">
        <f t="shared" si="3"/>
        <v>0</v>
      </c>
      <c r="BU13" s="200">
        <f t="shared" si="3"/>
        <v>0</v>
      </c>
      <c r="BV13" s="198">
        <f t="shared" si="3"/>
        <v>0</v>
      </c>
      <c r="BW13" s="202">
        <f t="shared" si="3"/>
        <v>0</v>
      </c>
      <c r="BX13" s="200">
        <f t="shared" si="3"/>
        <v>0</v>
      </c>
      <c r="BY13" s="198">
        <f t="shared" si="3"/>
        <v>0</v>
      </c>
      <c r="BZ13" s="202">
        <f t="shared" si="3"/>
        <v>0</v>
      </c>
      <c r="CA13" s="200">
        <f t="shared" si="3"/>
        <v>0</v>
      </c>
      <c r="CB13" s="198">
        <f t="shared" si="3"/>
        <v>0</v>
      </c>
      <c r="CC13" s="202">
        <f t="shared" si="3"/>
        <v>0</v>
      </c>
      <c r="CD13" s="200">
        <f t="shared" si="3"/>
        <v>0</v>
      </c>
      <c r="CE13" s="198">
        <f t="shared" si="3"/>
        <v>0</v>
      </c>
      <c r="CF13" s="202">
        <f t="shared" si="3"/>
        <v>0</v>
      </c>
      <c r="CG13" s="200">
        <f t="shared" si="3"/>
        <v>0</v>
      </c>
    </row>
    <row r="14" spans="1:85" ht="15" customHeight="1">
      <c r="A14" s="214"/>
      <c r="B14" s="216"/>
      <c r="C14" s="222"/>
      <c r="D14" s="213"/>
      <c r="E14" s="213"/>
      <c r="F14" s="213"/>
      <c r="G14" s="218"/>
      <c r="H14" s="213"/>
      <c r="J14" s="204"/>
      <c r="K14" s="208"/>
      <c r="L14" s="210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198"/>
      <c r="AY14" s="202"/>
      <c r="AZ14" s="200"/>
      <c r="BA14" s="198"/>
      <c r="BB14" s="202"/>
      <c r="BC14" s="200"/>
      <c r="BD14" s="198"/>
      <c r="BE14" s="202"/>
      <c r="BF14" s="200"/>
      <c r="BG14" s="198"/>
      <c r="BH14" s="202"/>
      <c r="BI14" s="200"/>
      <c r="BJ14" s="198"/>
      <c r="BK14" s="202"/>
      <c r="BL14" s="200"/>
      <c r="BM14" s="198"/>
      <c r="BN14" s="202"/>
      <c r="BO14" s="200"/>
      <c r="BP14" s="198"/>
      <c r="BQ14" s="202"/>
      <c r="BR14" s="200"/>
      <c r="BS14" s="198"/>
      <c r="BT14" s="202"/>
      <c r="BU14" s="200"/>
      <c r="BV14" s="198"/>
      <c r="BW14" s="202"/>
      <c r="BX14" s="200"/>
      <c r="BY14" s="198"/>
      <c r="BZ14" s="202"/>
      <c r="CA14" s="200"/>
      <c r="CB14" s="198"/>
      <c r="CC14" s="202"/>
      <c r="CD14" s="200"/>
      <c r="CE14" s="198"/>
      <c r="CF14" s="202"/>
      <c r="CG14" s="200"/>
    </row>
    <row r="15" spans="1:90" ht="15" customHeight="1">
      <c r="A15" s="214" t="s">
        <v>73</v>
      </c>
      <c r="B15" s="215"/>
      <c r="C15" s="221"/>
      <c r="D15" s="212"/>
      <c r="E15" s="212"/>
      <c r="F15" s="212"/>
      <c r="G15" s="217"/>
      <c r="H15" s="212"/>
      <c r="J15" s="204"/>
      <c r="K15" s="208" t="e">
        <f>MID(D15,FIND(" ",D15)+1,3)</f>
        <v>#VALUE!</v>
      </c>
      <c r="L15" s="209">
        <f>MID(F15,FIND(,F15),3)</f>
      </c>
      <c r="M15" s="204">
        <f>BA15+BB15+BC15+BD15+BE15+BF15+BG15+BH15+BI15+BJ15+BK15+BL15+BM15+BN15+BO15+BP15+BQ15+BR15+BS15+BT15+BU15+BV15+BW15+BX15+BY15+BZ15+CA15+CB15+CC15+CD15+CE15+CF15+CG15+AX15+AY15+AZ15</f>
        <v>0</v>
      </c>
      <c r="N15" s="204" t="e">
        <f>IF(AND(N$6=K15,N$5=L15),"1","0")</f>
        <v>#VALUE!</v>
      </c>
      <c r="O15" s="204" t="e">
        <f>IF(AND(O$6=K15,$N$5=L15),"1","0")</f>
        <v>#VALUE!</v>
      </c>
      <c r="P15" s="204" t="e">
        <f>IF(AND(P$6=K15,$N$5=L15),"1","0")</f>
        <v>#VALUE!</v>
      </c>
      <c r="Q15" s="204" t="e">
        <f>IF(AND($Q$5=L15,Q$6=K15),"1","0")</f>
        <v>#VALUE!</v>
      </c>
      <c r="R15" s="204" t="e">
        <f>IF(AND($Q$5=L15,R$6=K15),"1","0")</f>
        <v>#VALUE!</v>
      </c>
      <c r="S15" s="204" t="e">
        <f>IF(AND($Q$5=L15,S$6=K15),"1","0")</f>
        <v>#VALUE!</v>
      </c>
      <c r="T15" s="204" t="e">
        <f>IF(AND(T$5=$L15,T$6=$K15),"1","0")</f>
        <v>#VALUE!</v>
      </c>
      <c r="U15" s="204" t="e">
        <f>IF(AND(T$5=$L15,U$6=$K15),"1","0")</f>
        <v>#VALUE!</v>
      </c>
      <c r="V15" s="204" t="e">
        <f>IF(AND(T$5=$L15,V$6=$K15),"1","0")</f>
        <v>#VALUE!</v>
      </c>
      <c r="W15" s="204" t="e">
        <f>IF(AND(W$5=$L15,W$6=$K15),"1","0")</f>
        <v>#VALUE!</v>
      </c>
      <c r="X15" s="204" t="e">
        <f>IF(AND(W$5=$L15,X$6=$K15),"1","0")</f>
        <v>#VALUE!</v>
      </c>
      <c r="Y15" s="204" t="e">
        <f>IF(AND(W$5=$L15,Y$6=$K15),"1","0")</f>
        <v>#VALUE!</v>
      </c>
      <c r="Z15" s="204" t="e">
        <f>IF(AND(Z$5=$L15,Z$6=$K15),"1","0")</f>
        <v>#VALUE!</v>
      </c>
      <c r="AA15" s="204" t="e">
        <f>IF(AND(Z$5=$L15,AA$6=$K15),"1","0")</f>
        <v>#VALUE!</v>
      </c>
      <c r="AB15" s="204" t="e">
        <f>IF(AND(Z$5=$L15,AB$6=$K15),"1","0")</f>
        <v>#VALUE!</v>
      </c>
      <c r="AC15" s="204" t="e">
        <f>IF(AND(AC$5=$L15,AC$6=$K15),"1","0")</f>
        <v>#VALUE!</v>
      </c>
      <c r="AD15" s="204" t="e">
        <f>IF(AND(AC$5=$L15,AD$6=$K15),"1","0")</f>
        <v>#VALUE!</v>
      </c>
      <c r="AE15" s="204" t="e">
        <f>IF(AND(AC$5=$L15,AE$6=$K15),"1","0")</f>
        <v>#VALUE!</v>
      </c>
      <c r="AF15" s="204" t="e">
        <f>IF(AND(AF$5=$L15,AF$6=$K15),"1","0")</f>
        <v>#VALUE!</v>
      </c>
      <c r="AG15" s="204" t="e">
        <f>IF(AND(AF$5=$L15,AG$6=$K15),"1","0")</f>
        <v>#VALUE!</v>
      </c>
      <c r="AH15" s="204" t="e">
        <f>IF(AND(AF$5=$L15,AH$6=$K15),"1","0")</f>
        <v>#VALUE!</v>
      </c>
      <c r="AI15" s="204" t="e">
        <f>IF(AND(AI$5=$L15,AI$6=$K15),"1","0")</f>
        <v>#VALUE!</v>
      </c>
      <c r="AJ15" s="204" t="e">
        <f>IF(AND(AI$5=$L15,AJ$6=$K15),"1","0")</f>
        <v>#VALUE!</v>
      </c>
      <c r="AK15" s="204" t="e">
        <f>IF(AND(AI$5=$L15,AK$6=$K15),"1","0")</f>
        <v>#VALUE!</v>
      </c>
      <c r="AL15" s="204" t="e">
        <f>IF(AND(AL$5=$L15,AL$6=$K15),"1","0")</f>
        <v>#VALUE!</v>
      </c>
      <c r="AM15" s="204" t="e">
        <f>IF(AND(AL$5=$L15,AM$6=$K15),"1","0")</f>
        <v>#VALUE!</v>
      </c>
      <c r="AN15" s="204" t="e">
        <f>IF(AND(AL$5=$L15,AN$6=$K15),"1","0")</f>
        <v>#VALUE!</v>
      </c>
      <c r="AO15" s="204" t="e">
        <f>IF(AND(AO$5=$L15,AO$6=$K15),"1","0")</f>
        <v>#VALUE!</v>
      </c>
      <c r="AP15" s="204" t="e">
        <f>IF(AND(AO$5=$L15,AP$6=$K15),"1","0")</f>
        <v>#VALUE!</v>
      </c>
      <c r="AQ15" s="204" t="e">
        <f>IF(AND(AO$5=$L15,AQ$6=$K15),"1","0")</f>
        <v>#VALUE!</v>
      </c>
      <c r="AR15" s="204" t="e">
        <f>IF(AND(AR$5=$L15,AR$6=$K15),"1","0")</f>
        <v>#VALUE!</v>
      </c>
      <c r="AS15" s="204" t="e">
        <f>IF(AND(AR$5=$L15,AS$6=$K15),"1","0")</f>
        <v>#VALUE!</v>
      </c>
      <c r="AT15" s="204" t="e">
        <f>IF(AND(AR$5=$L15,AT$6=$K15),"1","0")</f>
        <v>#VALUE!</v>
      </c>
      <c r="AU15" s="204" t="e">
        <f>IF(AND(AU$5=$L15,AU$6=$K15),"1","0")</f>
        <v>#VALUE!</v>
      </c>
      <c r="AV15" s="204" t="e">
        <f>IF(AND(AU$5=$L15,AV$6=$K15),"1","0")</f>
        <v>#VALUE!</v>
      </c>
      <c r="AW15" s="204" t="e">
        <f>IF(AND(AU$5=$L15,AW$6=$K15),"1","0")</f>
        <v>#VALUE!</v>
      </c>
      <c r="AX15" s="198">
        <f aca="true" t="shared" si="4" ref="AX15:CG15">_xlfn.IFERROR(N15,0)</f>
        <v>0</v>
      </c>
      <c r="AY15" s="202">
        <f t="shared" si="4"/>
        <v>0</v>
      </c>
      <c r="AZ15" s="200">
        <f t="shared" si="4"/>
        <v>0</v>
      </c>
      <c r="BA15" s="198">
        <f t="shared" si="4"/>
        <v>0</v>
      </c>
      <c r="BB15" s="202">
        <f t="shared" si="4"/>
        <v>0</v>
      </c>
      <c r="BC15" s="200">
        <f t="shared" si="4"/>
        <v>0</v>
      </c>
      <c r="BD15" s="198">
        <f t="shared" si="4"/>
        <v>0</v>
      </c>
      <c r="BE15" s="202">
        <f t="shared" si="4"/>
        <v>0</v>
      </c>
      <c r="BF15" s="200">
        <f t="shared" si="4"/>
        <v>0</v>
      </c>
      <c r="BG15" s="198">
        <f t="shared" si="4"/>
        <v>0</v>
      </c>
      <c r="BH15" s="202">
        <f t="shared" si="4"/>
        <v>0</v>
      </c>
      <c r="BI15" s="200">
        <f t="shared" si="4"/>
        <v>0</v>
      </c>
      <c r="BJ15" s="198">
        <f t="shared" si="4"/>
        <v>0</v>
      </c>
      <c r="BK15" s="202">
        <f t="shared" si="4"/>
        <v>0</v>
      </c>
      <c r="BL15" s="200">
        <f t="shared" si="4"/>
        <v>0</v>
      </c>
      <c r="BM15" s="198">
        <f t="shared" si="4"/>
        <v>0</v>
      </c>
      <c r="BN15" s="202">
        <f t="shared" si="4"/>
        <v>0</v>
      </c>
      <c r="BO15" s="200">
        <f t="shared" si="4"/>
        <v>0</v>
      </c>
      <c r="BP15" s="198">
        <f t="shared" si="4"/>
        <v>0</v>
      </c>
      <c r="BQ15" s="202">
        <f t="shared" si="4"/>
        <v>0</v>
      </c>
      <c r="BR15" s="200">
        <f t="shared" si="4"/>
        <v>0</v>
      </c>
      <c r="BS15" s="198">
        <f t="shared" si="4"/>
        <v>0</v>
      </c>
      <c r="BT15" s="202">
        <f t="shared" si="4"/>
        <v>0</v>
      </c>
      <c r="BU15" s="200">
        <f t="shared" si="4"/>
        <v>0</v>
      </c>
      <c r="BV15" s="198">
        <f t="shared" si="4"/>
        <v>0</v>
      </c>
      <c r="BW15" s="202">
        <f t="shared" si="4"/>
        <v>0</v>
      </c>
      <c r="BX15" s="200">
        <f t="shared" si="4"/>
        <v>0</v>
      </c>
      <c r="BY15" s="198">
        <f t="shared" si="4"/>
        <v>0</v>
      </c>
      <c r="BZ15" s="202">
        <f t="shared" si="4"/>
        <v>0</v>
      </c>
      <c r="CA15" s="200">
        <f t="shared" si="4"/>
        <v>0</v>
      </c>
      <c r="CB15" s="198">
        <f t="shared" si="4"/>
        <v>0</v>
      </c>
      <c r="CC15" s="202">
        <f t="shared" si="4"/>
        <v>0</v>
      </c>
      <c r="CD15" s="200">
        <f t="shared" si="4"/>
        <v>0</v>
      </c>
      <c r="CE15" s="198">
        <f t="shared" si="4"/>
        <v>0</v>
      </c>
      <c r="CF15" s="202">
        <f t="shared" si="4"/>
        <v>0</v>
      </c>
      <c r="CG15" s="200">
        <f t="shared" si="4"/>
        <v>0</v>
      </c>
      <c r="CJ15" s="3"/>
      <c r="CK15" s="3"/>
      <c r="CL15" s="3"/>
    </row>
    <row r="16" spans="1:90" ht="15.75" customHeight="1">
      <c r="A16" s="214"/>
      <c r="B16" s="216"/>
      <c r="C16" s="222"/>
      <c r="D16" s="213"/>
      <c r="E16" s="213"/>
      <c r="F16" s="213"/>
      <c r="G16" s="218"/>
      <c r="H16" s="213"/>
      <c r="J16" s="204"/>
      <c r="K16" s="208"/>
      <c r="L16" s="210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198"/>
      <c r="AY16" s="202"/>
      <c r="AZ16" s="200"/>
      <c r="BA16" s="198"/>
      <c r="BB16" s="202"/>
      <c r="BC16" s="200"/>
      <c r="BD16" s="198"/>
      <c r="BE16" s="202"/>
      <c r="BF16" s="200"/>
      <c r="BG16" s="198"/>
      <c r="BH16" s="202"/>
      <c r="BI16" s="200"/>
      <c r="BJ16" s="198"/>
      <c r="BK16" s="202"/>
      <c r="BL16" s="200"/>
      <c r="BM16" s="198"/>
      <c r="BN16" s="202"/>
      <c r="BO16" s="200"/>
      <c r="BP16" s="198"/>
      <c r="BQ16" s="202"/>
      <c r="BR16" s="200"/>
      <c r="BS16" s="198"/>
      <c r="BT16" s="202"/>
      <c r="BU16" s="200"/>
      <c r="BV16" s="198"/>
      <c r="BW16" s="202"/>
      <c r="BX16" s="200"/>
      <c r="BY16" s="198"/>
      <c r="BZ16" s="202"/>
      <c r="CA16" s="200"/>
      <c r="CB16" s="198"/>
      <c r="CC16" s="202"/>
      <c r="CD16" s="200"/>
      <c r="CE16" s="198"/>
      <c r="CF16" s="202"/>
      <c r="CG16" s="200"/>
      <c r="CJ16" s="3"/>
      <c r="CK16" s="3"/>
      <c r="CL16" s="3"/>
    </row>
    <row r="17" spans="1:90" ht="12.75" customHeight="1">
      <c r="A17" s="214" t="s">
        <v>74</v>
      </c>
      <c r="B17" s="215"/>
      <c r="C17" s="221"/>
      <c r="D17" s="212"/>
      <c r="E17" s="212"/>
      <c r="F17" s="212"/>
      <c r="G17" s="217"/>
      <c r="H17" s="212"/>
      <c r="J17" s="204"/>
      <c r="K17" s="208" t="e">
        <f>MID(D17,FIND(" ",D17)+1,3)</f>
        <v>#VALUE!</v>
      </c>
      <c r="L17" s="209">
        <f>MID(F17,FIND(,F17),3)</f>
      </c>
      <c r="M17" s="204">
        <f>BA17+BB17+BC17+BD17+BE17+BF17+BG17+BH17+BI17+BJ17+BK17+BL17+BM17+BN17+BO17+BP17+BQ17+BR17+BS17+BT17+BU17+BV17+BW17+BX17+BY17+BZ17+CA17+CB17+CC17+CD17+CE17+CF17+CG17+AX17+AY17+AZ17</f>
        <v>0</v>
      </c>
      <c r="N17" s="204" t="e">
        <f>IF(AND(N$6=K17,N$5=L17),"1","0")</f>
        <v>#VALUE!</v>
      </c>
      <c r="O17" s="204" t="e">
        <f>IF(AND(O$6=K17,$N$5=L17),"1","0")</f>
        <v>#VALUE!</v>
      </c>
      <c r="P17" s="204" t="e">
        <f>IF(AND(P$6=K17,$N$5=L17),"1","0")</f>
        <v>#VALUE!</v>
      </c>
      <c r="Q17" s="204" t="e">
        <f>IF(AND($Q$5=L17,Q$6=K17),"1","0")</f>
        <v>#VALUE!</v>
      </c>
      <c r="R17" s="204" t="e">
        <f>IF(AND($Q$5=L17,R$6=K17),"1","0")</f>
        <v>#VALUE!</v>
      </c>
      <c r="S17" s="204" t="e">
        <f>IF(AND($Q$5=L17,S$6=K17),"1","0")</f>
        <v>#VALUE!</v>
      </c>
      <c r="T17" s="204" t="e">
        <f>IF(AND(T$5=$L17,T$6=$K17),"1","0")</f>
        <v>#VALUE!</v>
      </c>
      <c r="U17" s="204" t="e">
        <f>IF(AND(T$5=$L17,U$6=$K17),"1","0")</f>
        <v>#VALUE!</v>
      </c>
      <c r="V17" s="204" t="e">
        <f>IF(AND(T$5=$L17,V$6=$K17),"1","0")</f>
        <v>#VALUE!</v>
      </c>
      <c r="W17" s="204" t="e">
        <f>IF(AND(W$5=$L17,W$6=$K17),"1","0")</f>
        <v>#VALUE!</v>
      </c>
      <c r="X17" s="204" t="e">
        <f>IF(AND(W$5=$L17,X$6=$K17),"1","0")</f>
        <v>#VALUE!</v>
      </c>
      <c r="Y17" s="204" t="e">
        <f>IF(AND(W$5=$L17,Y$6=$K17),"1","0")</f>
        <v>#VALUE!</v>
      </c>
      <c r="Z17" s="204" t="e">
        <f>IF(AND(Z$5=$L17,Z$6=$K17),"1","0")</f>
        <v>#VALUE!</v>
      </c>
      <c r="AA17" s="204" t="e">
        <f>IF(AND(Z$5=$L17,AA$6=$K17),"1","0")</f>
        <v>#VALUE!</v>
      </c>
      <c r="AB17" s="204" t="e">
        <f>IF(AND(Z$5=$L17,AB$6=$K17),"1","0")</f>
        <v>#VALUE!</v>
      </c>
      <c r="AC17" s="204" t="e">
        <f>IF(AND(AC$5=$L17,AC$6=$K17),"1","0")</f>
        <v>#VALUE!</v>
      </c>
      <c r="AD17" s="204" t="e">
        <f>IF(AND(AC$5=$L17,AD$6=$K17),"1","0")</f>
        <v>#VALUE!</v>
      </c>
      <c r="AE17" s="204" t="e">
        <f>IF(AND(AC$5=$L17,AE$6=$K17),"1","0")</f>
        <v>#VALUE!</v>
      </c>
      <c r="AF17" s="204" t="e">
        <f>IF(AND(AF$5=$L17,AF$6=$K17),"1","0")</f>
        <v>#VALUE!</v>
      </c>
      <c r="AG17" s="204" t="e">
        <f>IF(AND(AF$5=$L17,AG$6=$K17),"1","0")</f>
        <v>#VALUE!</v>
      </c>
      <c r="AH17" s="204" t="e">
        <f>IF(AND(AF$5=$L17,AH$6=$K17),"1","0")</f>
        <v>#VALUE!</v>
      </c>
      <c r="AI17" s="204" t="e">
        <f>IF(AND(AI$5=$L17,AI$6=$K17),"1","0")</f>
        <v>#VALUE!</v>
      </c>
      <c r="AJ17" s="204" t="e">
        <f>IF(AND(AI$5=$L17,AJ$6=$K17),"1","0")</f>
        <v>#VALUE!</v>
      </c>
      <c r="AK17" s="204" t="e">
        <f>IF(AND(AI$5=$L17,AK$6=$K17),"1","0")</f>
        <v>#VALUE!</v>
      </c>
      <c r="AL17" s="204" t="e">
        <f>IF(AND(AL$5=$L17,AL$6=$K17),"1","0")</f>
        <v>#VALUE!</v>
      </c>
      <c r="AM17" s="204" t="e">
        <f>IF(AND(AL$5=$L17,AM$6=$K17),"1","0")</f>
        <v>#VALUE!</v>
      </c>
      <c r="AN17" s="204" t="e">
        <f>IF(AND(AL$5=$L17,AN$6=$K17),"1","0")</f>
        <v>#VALUE!</v>
      </c>
      <c r="AO17" s="204" t="e">
        <f>IF(AND(AO$5=$L17,AO$6=$K17),"1","0")</f>
        <v>#VALUE!</v>
      </c>
      <c r="AP17" s="204" t="e">
        <f>IF(AND(AO$5=$L17,AP$6=$K17),"1","0")</f>
        <v>#VALUE!</v>
      </c>
      <c r="AQ17" s="204" t="e">
        <f>IF(AND(AO$5=$L17,AQ$6=$K17),"1","0")</f>
        <v>#VALUE!</v>
      </c>
      <c r="AR17" s="204" t="e">
        <f>IF(AND(AR$5=$L17,AR$6=$K17),"1","0")</f>
        <v>#VALUE!</v>
      </c>
      <c r="AS17" s="204" t="e">
        <f>IF(AND(AR$5=$L17,AS$6=$K17),"1","0")</f>
        <v>#VALUE!</v>
      </c>
      <c r="AT17" s="204" t="e">
        <f>IF(AND(AR$5=$L17,AT$6=$K17),"1","0")</f>
        <v>#VALUE!</v>
      </c>
      <c r="AU17" s="204" t="e">
        <f>IF(AND(AU$5=$L17,AU$6=$K17),"1","0")</f>
        <v>#VALUE!</v>
      </c>
      <c r="AV17" s="204" t="e">
        <f>IF(AND(AU$5=$L17,AV$6=$K17),"1","0")</f>
        <v>#VALUE!</v>
      </c>
      <c r="AW17" s="204" t="e">
        <f>IF(AND(AU$5=$L17,AW$6=$K17),"1","0")</f>
        <v>#VALUE!</v>
      </c>
      <c r="AX17" s="198">
        <f aca="true" t="shared" si="5" ref="AX17:CG17">_xlfn.IFERROR(N17,0)</f>
        <v>0</v>
      </c>
      <c r="AY17" s="202">
        <f t="shared" si="5"/>
        <v>0</v>
      </c>
      <c r="AZ17" s="200">
        <f t="shared" si="5"/>
        <v>0</v>
      </c>
      <c r="BA17" s="198">
        <f t="shared" si="5"/>
        <v>0</v>
      </c>
      <c r="BB17" s="202">
        <f t="shared" si="5"/>
        <v>0</v>
      </c>
      <c r="BC17" s="200">
        <f t="shared" si="5"/>
        <v>0</v>
      </c>
      <c r="BD17" s="198">
        <f t="shared" si="5"/>
        <v>0</v>
      </c>
      <c r="BE17" s="202">
        <f t="shared" si="5"/>
        <v>0</v>
      </c>
      <c r="BF17" s="200">
        <f t="shared" si="5"/>
        <v>0</v>
      </c>
      <c r="BG17" s="198">
        <f t="shared" si="5"/>
        <v>0</v>
      </c>
      <c r="BH17" s="202">
        <f t="shared" si="5"/>
        <v>0</v>
      </c>
      <c r="BI17" s="200">
        <f t="shared" si="5"/>
        <v>0</v>
      </c>
      <c r="BJ17" s="198">
        <f t="shared" si="5"/>
        <v>0</v>
      </c>
      <c r="BK17" s="202">
        <f t="shared" si="5"/>
        <v>0</v>
      </c>
      <c r="BL17" s="200">
        <f t="shared" si="5"/>
        <v>0</v>
      </c>
      <c r="BM17" s="198">
        <f t="shared" si="5"/>
        <v>0</v>
      </c>
      <c r="BN17" s="202">
        <f t="shared" si="5"/>
        <v>0</v>
      </c>
      <c r="BO17" s="200">
        <f t="shared" si="5"/>
        <v>0</v>
      </c>
      <c r="BP17" s="198">
        <f t="shared" si="5"/>
        <v>0</v>
      </c>
      <c r="BQ17" s="202">
        <f t="shared" si="5"/>
        <v>0</v>
      </c>
      <c r="BR17" s="200">
        <f t="shared" si="5"/>
        <v>0</v>
      </c>
      <c r="BS17" s="198">
        <f t="shared" si="5"/>
        <v>0</v>
      </c>
      <c r="BT17" s="202">
        <f t="shared" si="5"/>
        <v>0</v>
      </c>
      <c r="BU17" s="200">
        <f t="shared" si="5"/>
        <v>0</v>
      </c>
      <c r="BV17" s="198">
        <f t="shared" si="5"/>
        <v>0</v>
      </c>
      <c r="BW17" s="202">
        <f t="shared" si="5"/>
        <v>0</v>
      </c>
      <c r="BX17" s="200">
        <f t="shared" si="5"/>
        <v>0</v>
      </c>
      <c r="BY17" s="198">
        <f t="shared" si="5"/>
        <v>0</v>
      </c>
      <c r="BZ17" s="202">
        <f t="shared" si="5"/>
        <v>0</v>
      </c>
      <c r="CA17" s="200">
        <f t="shared" si="5"/>
        <v>0</v>
      </c>
      <c r="CB17" s="198">
        <f t="shared" si="5"/>
        <v>0</v>
      </c>
      <c r="CC17" s="202">
        <f t="shared" si="5"/>
        <v>0</v>
      </c>
      <c r="CD17" s="200">
        <f t="shared" si="5"/>
        <v>0</v>
      </c>
      <c r="CE17" s="198">
        <f t="shared" si="5"/>
        <v>0</v>
      </c>
      <c r="CF17" s="202">
        <f t="shared" si="5"/>
        <v>0</v>
      </c>
      <c r="CG17" s="200">
        <f t="shared" si="5"/>
        <v>0</v>
      </c>
      <c r="CJ17" s="3"/>
      <c r="CK17" s="3"/>
      <c r="CL17" s="3"/>
    </row>
    <row r="18" spans="1:90" ht="15" customHeight="1">
      <c r="A18" s="214"/>
      <c r="B18" s="216"/>
      <c r="C18" s="222"/>
      <c r="D18" s="213"/>
      <c r="E18" s="213"/>
      <c r="F18" s="213"/>
      <c r="G18" s="218"/>
      <c r="H18" s="213"/>
      <c r="J18" s="204"/>
      <c r="K18" s="208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198"/>
      <c r="AY18" s="202"/>
      <c r="AZ18" s="200"/>
      <c r="BA18" s="198"/>
      <c r="BB18" s="202"/>
      <c r="BC18" s="200"/>
      <c r="BD18" s="198"/>
      <c r="BE18" s="202"/>
      <c r="BF18" s="200"/>
      <c r="BG18" s="198"/>
      <c r="BH18" s="202"/>
      <c r="BI18" s="200"/>
      <c r="BJ18" s="198"/>
      <c r="BK18" s="202"/>
      <c r="BL18" s="200"/>
      <c r="BM18" s="198"/>
      <c r="BN18" s="202"/>
      <c r="BO18" s="200"/>
      <c r="BP18" s="198"/>
      <c r="BQ18" s="202"/>
      <c r="BR18" s="200"/>
      <c r="BS18" s="198"/>
      <c r="BT18" s="202"/>
      <c r="BU18" s="200"/>
      <c r="BV18" s="198"/>
      <c r="BW18" s="202"/>
      <c r="BX18" s="200"/>
      <c r="BY18" s="198"/>
      <c r="BZ18" s="202"/>
      <c r="CA18" s="200"/>
      <c r="CB18" s="198"/>
      <c r="CC18" s="202"/>
      <c r="CD18" s="200"/>
      <c r="CE18" s="198"/>
      <c r="CF18" s="202"/>
      <c r="CG18" s="200"/>
      <c r="CJ18" s="3"/>
      <c r="CK18" s="3"/>
      <c r="CL18" s="3"/>
    </row>
    <row r="19" spans="1:90" ht="12.75" customHeight="1">
      <c r="A19" s="214" t="s">
        <v>75</v>
      </c>
      <c r="B19" s="215"/>
      <c r="C19" s="221"/>
      <c r="D19" s="212"/>
      <c r="E19" s="212"/>
      <c r="F19" s="212"/>
      <c r="G19" s="217"/>
      <c r="H19" s="212"/>
      <c r="J19" s="204"/>
      <c r="K19" s="208" t="e">
        <f>MID(D19,FIND(" ",D19)+1,3)</f>
        <v>#VALUE!</v>
      </c>
      <c r="L19" s="209">
        <f>MID(F19,FIND(,F19),3)</f>
      </c>
      <c r="M19" s="204">
        <f>BA19+BB19+BC19+BD19+BE19+BF19+BG19+BH19+BI19+BJ19+BK19+BL19+BM19+BN19+BO19+BP19+BQ19+BR19+BS19+BT19+BU19+BV19+BW19+BX19+BY19+BZ19+CA19+CB19+CC19+CD19+CE19+CF19+CG19+AX19+AY19+AZ19</f>
        <v>0</v>
      </c>
      <c r="N19" s="204" t="e">
        <f>IF(AND(N$6=K19,N$5=L19),"1","0")</f>
        <v>#VALUE!</v>
      </c>
      <c r="O19" s="204" t="e">
        <f>IF(AND(O$6=K19,$N$5=L19),"1","0")</f>
        <v>#VALUE!</v>
      </c>
      <c r="P19" s="204" t="e">
        <f>IF(AND(P$6=K19,$N$5=L19),"1","0")</f>
        <v>#VALUE!</v>
      </c>
      <c r="Q19" s="204" t="e">
        <f>IF(AND($Q$5=L19,Q$6=K19),"1","0")</f>
        <v>#VALUE!</v>
      </c>
      <c r="R19" s="204" t="e">
        <f>IF(AND($Q$5=L19,R$6=K19),"1","0")</f>
        <v>#VALUE!</v>
      </c>
      <c r="S19" s="204" t="e">
        <f>IF(AND($Q$5=L19,S$6=K19),"1","0")</f>
        <v>#VALUE!</v>
      </c>
      <c r="T19" s="204" t="e">
        <f>IF(AND(T$5=$L19,T$6=$K19),"1","0")</f>
        <v>#VALUE!</v>
      </c>
      <c r="U19" s="204" t="e">
        <f>IF(AND(T$5=$L19,U$6=$K19),"1","0")</f>
        <v>#VALUE!</v>
      </c>
      <c r="V19" s="204" t="e">
        <f>IF(AND(T$5=$L19,V$6=$K19),"1","0")</f>
        <v>#VALUE!</v>
      </c>
      <c r="W19" s="204" t="e">
        <f>IF(AND(W$5=$L19,W$6=$K19),"1","0")</f>
        <v>#VALUE!</v>
      </c>
      <c r="X19" s="204" t="e">
        <f>IF(AND(W$5=$L19,X$6=$K19),"1","0")</f>
        <v>#VALUE!</v>
      </c>
      <c r="Y19" s="204" t="e">
        <f>IF(AND(W$5=$L19,Y$6=$K19),"1","0")</f>
        <v>#VALUE!</v>
      </c>
      <c r="Z19" s="204" t="e">
        <f>IF(AND(Z$5=$L19,Z$6=$K19),"1","0")</f>
        <v>#VALUE!</v>
      </c>
      <c r="AA19" s="204" t="e">
        <f>IF(AND(Z$5=$L19,AA$6=$K19),"1","0")</f>
        <v>#VALUE!</v>
      </c>
      <c r="AB19" s="204" t="e">
        <f>IF(AND(Z$5=$L19,AB$6=$K19),"1","0")</f>
        <v>#VALUE!</v>
      </c>
      <c r="AC19" s="204" t="e">
        <f>IF(AND(AC$5=$L19,AC$6=$K19),"1","0")</f>
        <v>#VALUE!</v>
      </c>
      <c r="AD19" s="204" t="e">
        <f>IF(AND(AC$5=$L19,AD$6=$K19),"1","0")</f>
        <v>#VALUE!</v>
      </c>
      <c r="AE19" s="204" t="e">
        <f>IF(AND(AC$5=$L19,AE$6=$K19),"1","0")</f>
        <v>#VALUE!</v>
      </c>
      <c r="AF19" s="204" t="e">
        <f>IF(AND(AF$5=$L19,AF$6=$K19),"1","0")</f>
        <v>#VALUE!</v>
      </c>
      <c r="AG19" s="204" t="e">
        <f>IF(AND(AF$5=$L19,AG$6=$K19),"1","0")</f>
        <v>#VALUE!</v>
      </c>
      <c r="AH19" s="204" t="e">
        <f>IF(AND(AF$5=$L19,AH$6=$K19),"1","0")</f>
        <v>#VALUE!</v>
      </c>
      <c r="AI19" s="204" t="e">
        <f>IF(AND(AI$5=$L19,AI$6=$K19),"1","0")</f>
        <v>#VALUE!</v>
      </c>
      <c r="AJ19" s="204" t="e">
        <f>IF(AND(AI$5=$L19,AJ$6=$K19),"1","0")</f>
        <v>#VALUE!</v>
      </c>
      <c r="AK19" s="204" t="e">
        <f>IF(AND(AI$5=$L19,AK$6=$K19),"1","0")</f>
        <v>#VALUE!</v>
      </c>
      <c r="AL19" s="204" t="e">
        <f>IF(AND(AL$5=$L19,AL$6=$K19),"1","0")</f>
        <v>#VALUE!</v>
      </c>
      <c r="AM19" s="204" t="e">
        <f>IF(AND(AL$5=$L19,AM$6=$K19),"1","0")</f>
        <v>#VALUE!</v>
      </c>
      <c r="AN19" s="204" t="e">
        <f>IF(AND(AL$5=$L19,AN$6=$K19),"1","0")</f>
        <v>#VALUE!</v>
      </c>
      <c r="AO19" s="204" t="e">
        <f>IF(AND(AO$5=$L19,AO$6=$K19),"1","0")</f>
        <v>#VALUE!</v>
      </c>
      <c r="AP19" s="204" t="e">
        <f>IF(AND(AO$5=$L19,AP$6=$K19),"1","0")</f>
        <v>#VALUE!</v>
      </c>
      <c r="AQ19" s="204" t="e">
        <f>IF(AND(AO$5=$L19,AQ$6=$K19),"1","0")</f>
        <v>#VALUE!</v>
      </c>
      <c r="AR19" s="204" t="e">
        <f>IF(AND(AR$5=$L19,AR$6=$K19),"1","0")</f>
        <v>#VALUE!</v>
      </c>
      <c r="AS19" s="204" t="e">
        <f>IF(AND(AR$5=$L19,AS$6=$K19),"1","0")</f>
        <v>#VALUE!</v>
      </c>
      <c r="AT19" s="204" t="e">
        <f>IF(AND(AR$5=$L19,AT$6=$K19),"1","0")</f>
        <v>#VALUE!</v>
      </c>
      <c r="AU19" s="204" t="e">
        <f>IF(AND(AU$5=$L19,AU$6=$K19),"1","0")</f>
        <v>#VALUE!</v>
      </c>
      <c r="AV19" s="204" t="e">
        <f>IF(AND(AU$5=$L19,AV$6=$K19),"1","0")</f>
        <v>#VALUE!</v>
      </c>
      <c r="AW19" s="204" t="e">
        <f>IF(AND(AU$5=$L19,AW$6=$K19),"1","0")</f>
        <v>#VALUE!</v>
      </c>
      <c r="AX19" s="198">
        <f aca="true" t="shared" si="6" ref="AX19:CG19">_xlfn.IFERROR(N19,0)</f>
        <v>0</v>
      </c>
      <c r="AY19" s="202">
        <f t="shared" si="6"/>
        <v>0</v>
      </c>
      <c r="AZ19" s="200">
        <f t="shared" si="6"/>
        <v>0</v>
      </c>
      <c r="BA19" s="198">
        <f t="shared" si="6"/>
        <v>0</v>
      </c>
      <c r="BB19" s="202">
        <f t="shared" si="6"/>
        <v>0</v>
      </c>
      <c r="BC19" s="200">
        <f t="shared" si="6"/>
        <v>0</v>
      </c>
      <c r="BD19" s="198">
        <f t="shared" si="6"/>
        <v>0</v>
      </c>
      <c r="BE19" s="202">
        <f t="shared" si="6"/>
        <v>0</v>
      </c>
      <c r="BF19" s="200">
        <f t="shared" si="6"/>
        <v>0</v>
      </c>
      <c r="BG19" s="198">
        <f t="shared" si="6"/>
        <v>0</v>
      </c>
      <c r="BH19" s="202">
        <f t="shared" si="6"/>
        <v>0</v>
      </c>
      <c r="BI19" s="200">
        <f t="shared" si="6"/>
        <v>0</v>
      </c>
      <c r="BJ19" s="198">
        <f t="shared" si="6"/>
        <v>0</v>
      </c>
      <c r="BK19" s="202">
        <f t="shared" si="6"/>
        <v>0</v>
      </c>
      <c r="BL19" s="200">
        <f t="shared" si="6"/>
        <v>0</v>
      </c>
      <c r="BM19" s="198">
        <f t="shared" si="6"/>
        <v>0</v>
      </c>
      <c r="BN19" s="202">
        <f t="shared" si="6"/>
        <v>0</v>
      </c>
      <c r="BO19" s="200">
        <f t="shared" si="6"/>
        <v>0</v>
      </c>
      <c r="BP19" s="198">
        <f t="shared" si="6"/>
        <v>0</v>
      </c>
      <c r="BQ19" s="202">
        <f t="shared" si="6"/>
        <v>0</v>
      </c>
      <c r="BR19" s="200">
        <f t="shared" si="6"/>
        <v>0</v>
      </c>
      <c r="BS19" s="198">
        <f t="shared" si="6"/>
        <v>0</v>
      </c>
      <c r="BT19" s="202">
        <f t="shared" si="6"/>
        <v>0</v>
      </c>
      <c r="BU19" s="200">
        <f t="shared" si="6"/>
        <v>0</v>
      </c>
      <c r="BV19" s="198">
        <f t="shared" si="6"/>
        <v>0</v>
      </c>
      <c r="BW19" s="202">
        <f t="shared" si="6"/>
        <v>0</v>
      </c>
      <c r="BX19" s="200">
        <f t="shared" si="6"/>
        <v>0</v>
      </c>
      <c r="BY19" s="198">
        <f t="shared" si="6"/>
        <v>0</v>
      </c>
      <c r="BZ19" s="202">
        <f t="shared" si="6"/>
        <v>0</v>
      </c>
      <c r="CA19" s="200">
        <f t="shared" si="6"/>
        <v>0</v>
      </c>
      <c r="CB19" s="198">
        <f t="shared" si="6"/>
        <v>0</v>
      </c>
      <c r="CC19" s="202">
        <f t="shared" si="6"/>
        <v>0</v>
      </c>
      <c r="CD19" s="200">
        <f t="shared" si="6"/>
        <v>0</v>
      </c>
      <c r="CE19" s="198">
        <f t="shared" si="6"/>
        <v>0</v>
      </c>
      <c r="CF19" s="202">
        <f t="shared" si="6"/>
        <v>0</v>
      </c>
      <c r="CG19" s="200">
        <f t="shared" si="6"/>
        <v>0</v>
      </c>
      <c r="CJ19" s="3"/>
      <c r="CK19" s="3"/>
      <c r="CL19" s="3"/>
    </row>
    <row r="20" spans="1:90" ht="15" customHeight="1">
      <c r="A20" s="214"/>
      <c r="B20" s="216"/>
      <c r="C20" s="222"/>
      <c r="D20" s="213"/>
      <c r="E20" s="213"/>
      <c r="F20" s="213"/>
      <c r="G20" s="218"/>
      <c r="H20" s="213"/>
      <c r="J20" s="204"/>
      <c r="K20" s="208"/>
      <c r="L20" s="210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198"/>
      <c r="AY20" s="202"/>
      <c r="AZ20" s="200"/>
      <c r="BA20" s="198"/>
      <c r="BB20" s="202"/>
      <c r="BC20" s="200"/>
      <c r="BD20" s="198"/>
      <c r="BE20" s="202"/>
      <c r="BF20" s="200"/>
      <c r="BG20" s="198"/>
      <c r="BH20" s="202"/>
      <c r="BI20" s="200"/>
      <c r="BJ20" s="198"/>
      <c r="BK20" s="202"/>
      <c r="BL20" s="200"/>
      <c r="BM20" s="198"/>
      <c r="BN20" s="202"/>
      <c r="BO20" s="200"/>
      <c r="BP20" s="198"/>
      <c r="BQ20" s="202"/>
      <c r="BR20" s="200"/>
      <c r="BS20" s="198"/>
      <c r="BT20" s="202"/>
      <c r="BU20" s="200"/>
      <c r="BV20" s="198"/>
      <c r="BW20" s="202"/>
      <c r="BX20" s="200"/>
      <c r="BY20" s="198"/>
      <c r="BZ20" s="202"/>
      <c r="CA20" s="200"/>
      <c r="CB20" s="198"/>
      <c r="CC20" s="202"/>
      <c r="CD20" s="200"/>
      <c r="CE20" s="198"/>
      <c r="CF20" s="202"/>
      <c r="CG20" s="200"/>
      <c r="CJ20" s="3"/>
      <c r="CK20" s="3"/>
      <c r="CL20" s="3"/>
    </row>
    <row r="21" spans="1:85" ht="12.75" customHeight="1">
      <c r="A21" s="214" t="s">
        <v>76</v>
      </c>
      <c r="B21" s="215"/>
      <c r="C21" s="221"/>
      <c r="D21" s="212"/>
      <c r="E21" s="212"/>
      <c r="F21" s="212"/>
      <c r="G21" s="227"/>
      <c r="H21" s="212"/>
      <c r="J21" s="204"/>
      <c r="K21" s="208" t="e">
        <f>MID(D21,FIND(" ",D21)+1,3)</f>
        <v>#VALUE!</v>
      </c>
      <c r="L21" s="209">
        <f>MID(F21,FIND(,F21),3)</f>
      </c>
      <c r="M21" s="204">
        <f>BA21+BB21+BC21+BD21+BE21+BF21+BG21+BH21+BI21+BJ21+BK21+BL21+BM21+BN21+BO21+BP21+BQ21+BR21+BS21+BT21+BU21+BV21+BW21+BX21+BY21+BZ21+CA21+CB21+CC21+CD21+CE21+CF21+CG21+AX21+AY21+AZ21</f>
        <v>0</v>
      </c>
      <c r="N21" s="204" t="e">
        <f>IF(AND(N$6=K21,N$5=L21),"1","0")</f>
        <v>#VALUE!</v>
      </c>
      <c r="O21" s="204" t="e">
        <f>IF(AND(O$6=K21,$N$5=L21),"1","0")</f>
        <v>#VALUE!</v>
      </c>
      <c r="P21" s="204" t="e">
        <f>IF(AND(P$6=K21,$N$5=L21),"1","0")</f>
        <v>#VALUE!</v>
      </c>
      <c r="Q21" s="204" t="e">
        <f>IF(AND($Q$5=L21,Q$6=K21),"1","0")</f>
        <v>#VALUE!</v>
      </c>
      <c r="R21" s="204" t="e">
        <f>IF(AND($Q$5=L21,R$6=K21),"1","0")</f>
        <v>#VALUE!</v>
      </c>
      <c r="S21" s="204" t="e">
        <f>IF(AND($Q$5=L21,S$6=K21),"1","0")</f>
        <v>#VALUE!</v>
      </c>
      <c r="T21" s="204" t="e">
        <f>IF(AND(T$5=$L21,T$6=$K21),"1","0")</f>
        <v>#VALUE!</v>
      </c>
      <c r="U21" s="204" t="e">
        <f>IF(AND(T$5=$L21,U$6=$K21),"1","0")</f>
        <v>#VALUE!</v>
      </c>
      <c r="V21" s="204" t="e">
        <f>IF(AND(T$5=$L21,V$6=$K21),"1","0")</f>
        <v>#VALUE!</v>
      </c>
      <c r="W21" s="204" t="e">
        <f>IF(AND(W$5=$L21,W$6=$K21),"1","0")</f>
        <v>#VALUE!</v>
      </c>
      <c r="X21" s="204" t="e">
        <f>IF(AND(W$5=$L21,X$6=$K21),"1","0")</f>
        <v>#VALUE!</v>
      </c>
      <c r="Y21" s="204" t="e">
        <f>IF(AND(W$5=$L21,Y$6=$K21),"1","0")</f>
        <v>#VALUE!</v>
      </c>
      <c r="Z21" s="204" t="e">
        <f>IF(AND(Z$5=$L21,Z$6=$K21),"1","0")</f>
        <v>#VALUE!</v>
      </c>
      <c r="AA21" s="204" t="e">
        <f>IF(AND(Z$5=$L21,AA$6=$K21),"1","0")</f>
        <v>#VALUE!</v>
      </c>
      <c r="AB21" s="204" t="e">
        <f>IF(AND(Z$5=$L21,AB$6=$K21),"1","0")</f>
        <v>#VALUE!</v>
      </c>
      <c r="AC21" s="204" t="e">
        <f>IF(AND(AC$5=$L21,AC$6=$K21),"1","0")</f>
        <v>#VALUE!</v>
      </c>
      <c r="AD21" s="204" t="e">
        <f>IF(AND(AC$5=$L21,AD$6=$K21),"1","0")</f>
        <v>#VALUE!</v>
      </c>
      <c r="AE21" s="204" t="e">
        <f>IF(AND(AC$5=$L21,AE$6=$K21),"1","0")</f>
        <v>#VALUE!</v>
      </c>
      <c r="AF21" s="204" t="e">
        <f>IF(AND(AF$5=$L21,AF$6=$K21),"1","0")</f>
        <v>#VALUE!</v>
      </c>
      <c r="AG21" s="204" t="e">
        <f>IF(AND(AF$5=$L21,AG$6=$K21),"1","0")</f>
        <v>#VALUE!</v>
      </c>
      <c r="AH21" s="204" t="e">
        <f>IF(AND(AF$5=$L21,AH$6=$K21),"1","0")</f>
        <v>#VALUE!</v>
      </c>
      <c r="AI21" s="204" t="e">
        <f>IF(AND(AI$5=$L21,AI$6=$K21),"1","0")</f>
        <v>#VALUE!</v>
      </c>
      <c r="AJ21" s="204" t="e">
        <f>IF(AND(AI$5=$L21,AJ$6=$K21),"1","0")</f>
        <v>#VALUE!</v>
      </c>
      <c r="AK21" s="204" t="e">
        <f>IF(AND(AI$5=$L21,AK$6=$K21),"1","0")</f>
        <v>#VALUE!</v>
      </c>
      <c r="AL21" s="204" t="e">
        <f>IF(AND(AL$5=$L21,AL$6=$K21),"1","0")</f>
        <v>#VALUE!</v>
      </c>
      <c r="AM21" s="204" t="e">
        <f>IF(AND(AL$5=$L21,AM$6=$K21),"1","0")</f>
        <v>#VALUE!</v>
      </c>
      <c r="AN21" s="204" t="e">
        <f>IF(AND(AL$5=$L21,AN$6=$K21),"1","0")</f>
        <v>#VALUE!</v>
      </c>
      <c r="AO21" s="204" t="e">
        <f>IF(AND(AO$5=$L21,AO$6=$K21),"1","0")</f>
        <v>#VALUE!</v>
      </c>
      <c r="AP21" s="204" t="e">
        <f>IF(AND(AO$5=$L21,AP$6=$K21),"1","0")</f>
        <v>#VALUE!</v>
      </c>
      <c r="AQ21" s="204" t="e">
        <f>IF(AND(AO$5=$L21,AQ$6=$K21),"1","0")</f>
        <v>#VALUE!</v>
      </c>
      <c r="AR21" s="204" t="e">
        <f>IF(AND(AR$5=$L21,AR$6=$K21),"1","0")</f>
        <v>#VALUE!</v>
      </c>
      <c r="AS21" s="204" t="e">
        <f>IF(AND(AR$5=$L21,AS$6=$K21),"1","0")</f>
        <v>#VALUE!</v>
      </c>
      <c r="AT21" s="204" t="e">
        <f>IF(AND(AR$5=$L21,AT$6=$K21),"1","0")</f>
        <v>#VALUE!</v>
      </c>
      <c r="AU21" s="204" t="e">
        <f>IF(AND(AU$5=$L21,AU$6=$K21),"1","0")</f>
        <v>#VALUE!</v>
      </c>
      <c r="AV21" s="204" t="e">
        <f>IF(AND(AU$5=$L21,AV$6=$K21),"1","0")</f>
        <v>#VALUE!</v>
      </c>
      <c r="AW21" s="204" t="e">
        <f>IF(AND(AU$5=$L21,AW$6=$K21),"1","0")</f>
        <v>#VALUE!</v>
      </c>
      <c r="AX21" s="198">
        <f aca="true" t="shared" si="7" ref="AX21:CG21">_xlfn.IFERROR(N21,0)</f>
        <v>0</v>
      </c>
      <c r="AY21" s="202">
        <f t="shared" si="7"/>
        <v>0</v>
      </c>
      <c r="AZ21" s="200">
        <f t="shared" si="7"/>
        <v>0</v>
      </c>
      <c r="BA21" s="198">
        <f t="shared" si="7"/>
        <v>0</v>
      </c>
      <c r="BB21" s="202">
        <f t="shared" si="7"/>
        <v>0</v>
      </c>
      <c r="BC21" s="200">
        <f t="shared" si="7"/>
        <v>0</v>
      </c>
      <c r="BD21" s="198">
        <f t="shared" si="7"/>
        <v>0</v>
      </c>
      <c r="BE21" s="202">
        <f t="shared" si="7"/>
        <v>0</v>
      </c>
      <c r="BF21" s="200">
        <f t="shared" si="7"/>
        <v>0</v>
      </c>
      <c r="BG21" s="198">
        <f t="shared" si="7"/>
        <v>0</v>
      </c>
      <c r="BH21" s="202">
        <f t="shared" si="7"/>
        <v>0</v>
      </c>
      <c r="BI21" s="200">
        <f t="shared" si="7"/>
        <v>0</v>
      </c>
      <c r="BJ21" s="198">
        <f t="shared" si="7"/>
        <v>0</v>
      </c>
      <c r="BK21" s="202">
        <f t="shared" si="7"/>
        <v>0</v>
      </c>
      <c r="BL21" s="200">
        <f t="shared" si="7"/>
        <v>0</v>
      </c>
      <c r="BM21" s="198">
        <f t="shared" si="7"/>
        <v>0</v>
      </c>
      <c r="BN21" s="202">
        <f t="shared" si="7"/>
        <v>0</v>
      </c>
      <c r="BO21" s="200">
        <f t="shared" si="7"/>
        <v>0</v>
      </c>
      <c r="BP21" s="198">
        <f t="shared" si="7"/>
        <v>0</v>
      </c>
      <c r="BQ21" s="202">
        <f t="shared" si="7"/>
        <v>0</v>
      </c>
      <c r="BR21" s="200">
        <f t="shared" si="7"/>
        <v>0</v>
      </c>
      <c r="BS21" s="198">
        <f t="shared" si="7"/>
        <v>0</v>
      </c>
      <c r="BT21" s="202">
        <f t="shared" si="7"/>
        <v>0</v>
      </c>
      <c r="BU21" s="200">
        <f t="shared" si="7"/>
        <v>0</v>
      </c>
      <c r="BV21" s="198">
        <f t="shared" si="7"/>
        <v>0</v>
      </c>
      <c r="BW21" s="202">
        <f t="shared" si="7"/>
        <v>0</v>
      </c>
      <c r="BX21" s="200">
        <f t="shared" si="7"/>
        <v>0</v>
      </c>
      <c r="BY21" s="198">
        <f t="shared" si="7"/>
        <v>0</v>
      </c>
      <c r="BZ21" s="202">
        <f t="shared" si="7"/>
        <v>0</v>
      </c>
      <c r="CA21" s="200">
        <f t="shared" si="7"/>
        <v>0</v>
      </c>
      <c r="CB21" s="198">
        <f t="shared" si="7"/>
        <v>0</v>
      </c>
      <c r="CC21" s="202">
        <f t="shared" si="7"/>
        <v>0</v>
      </c>
      <c r="CD21" s="200">
        <f t="shared" si="7"/>
        <v>0</v>
      </c>
      <c r="CE21" s="198">
        <f t="shared" si="7"/>
        <v>0</v>
      </c>
      <c r="CF21" s="202">
        <f t="shared" si="7"/>
        <v>0</v>
      </c>
      <c r="CG21" s="200">
        <f t="shared" si="7"/>
        <v>0</v>
      </c>
    </row>
    <row r="22" spans="1:85" ht="15" customHeight="1" thickBot="1">
      <c r="A22" s="214"/>
      <c r="B22" s="216"/>
      <c r="C22" s="222"/>
      <c r="D22" s="213"/>
      <c r="E22" s="213"/>
      <c r="F22" s="213"/>
      <c r="G22" s="228"/>
      <c r="H22" s="213"/>
      <c r="J22" s="204"/>
      <c r="K22" s="208"/>
      <c r="L22" s="210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199"/>
      <c r="AY22" s="203"/>
      <c r="AZ22" s="201"/>
      <c r="BA22" s="199"/>
      <c r="BB22" s="203"/>
      <c r="BC22" s="201"/>
      <c r="BD22" s="199"/>
      <c r="BE22" s="203"/>
      <c r="BF22" s="201"/>
      <c r="BG22" s="199"/>
      <c r="BH22" s="203"/>
      <c r="BI22" s="201"/>
      <c r="BJ22" s="199"/>
      <c r="BK22" s="203"/>
      <c r="BL22" s="201"/>
      <c r="BM22" s="199"/>
      <c r="BN22" s="203"/>
      <c r="BO22" s="201"/>
      <c r="BP22" s="199"/>
      <c r="BQ22" s="203"/>
      <c r="BR22" s="201"/>
      <c r="BS22" s="199"/>
      <c r="BT22" s="203"/>
      <c r="BU22" s="201"/>
      <c r="BV22" s="199"/>
      <c r="BW22" s="203"/>
      <c r="BX22" s="201"/>
      <c r="BY22" s="199"/>
      <c r="BZ22" s="203"/>
      <c r="CA22" s="201"/>
      <c r="CB22" s="199"/>
      <c r="CC22" s="203"/>
      <c r="CD22" s="201"/>
      <c r="CE22" s="199"/>
      <c r="CF22" s="203"/>
      <c r="CG22" s="201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34">
        <f t="shared" si="8"/>
        <v>0</v>
      </c>
      <c r="AY23" s="135">
        <f t="shared" si="8"/>
        <v>0</v>
      </c>
      <c r="AZ23" s="136">
        <f t="shared" si="8"/>
        <v>0</v>
      </c>
      <c r="BA23" s="134">
        <f t="shared" si="8"/>
        <v>0</v>
      </c>
      <c r="BB23" s="135">
        <f t="shared" si="8"/>
        <v>0</v>
      </c>
      <c r="BC23" s="136">
        <f t="shared" si="8"/>
        <v>0</v>
      </c>
      <c r="BD23" s="134">
        <f t="shared" si="8"/>
        <v>0</v>
      </c>
      <c r="BE23" s="135">
        <f t="shared" si="8"/>
        <v>0</v>
      </c>
      <c r="BF23" s="136">
        <f t="shared" si="8"/>
        <v>0</v>
      </c>
      <c r="BG23" s="134">
        <f t="shared" si="8"/>
        <v>0</v>
      </c>
      <c r="BH23" s="135">
        <f t="shared" si="8"/>
        <v>0</v>
      </c>
      <c r="BI23" s="136">
        <f t="shared" si="8"/>
        <v>0</v>
      </c>
      <c r="BJ23" s="134">
        <f t="shared" si="8"/>
        <v>0</v>
      </c>
      <c r="BK23" s="135">
        <f t="shared" si="8"/>
        <v>0</v>
      </c>
      <c r="BL23" s="136">
        <f t="shared" si="8"/>
        <v>0</v>
      </c>
      <c r="BM23" s="134">
        <f t="shared" si="8"/>
        <v>0</v>
      </c>
      <c r="BN23" s="135">
        <f t="shared" si="8"/>
        <v>0</v>
      </c>
      <c r="BO23" s="136">
        <f t="shared" si="8"/>
        <v>0</v>
      </c>
      <c r="BP23" s="134">
        <f t="shared" si="8"/>
        <v>0</v>
      </c>
      <c r="BQ23" s="135">
        <f t="shared" si="8"/>
        <v>0</v>
      </c>
      <c r="BR23" s="136">
        <f t="shared" si="8"/>
        <v>0</v>
      </c>
      <c r="BS23" s="134">
        <f t="shared" si="8"/>
        <v>0</v>
      </c>
      <c r="BT23" s="135">
        <f t="shared" si="8"/>
        <v>0</v>
      </c>
      <c r="BU23" s="136">
        <f t="shared" si="8"/>
        <v>0</v>
      </c>
      <c r="BV23" s="134">
        <f t="shared" si="8"/>
        <v>0</v>
      </c>
      <c r="BW23" s="135">
        <f t="shared" si="8"/>
        <v>0</v>
      </c>
      <c r="BX23" s="136">
        <f t="shared" si="8"/>
        <v>0</v>
      </c>
      <c r="BY23" s="134">
        <f t="shared" si="8"/>
        <v>0</v>
      </c>
      <c r="BZ23" s="135">
        <f t="shared" si="8"/>
        <v>0</v>
      </c>
      <c r="CA23" s="136">
        <f aca="true" t="shared" si="9" ref="CA23:CG23">CA7+CA9+CA11+CA13+CA15+CA17+CA19+CA21</f>
        <v>0</v>
      </c>
      <c r="CB23" s="134">
        <f t="shared" si="9"/>
        <v>0</v>
      </c>
      <c r="CC23" s="135">
        <f t="shared" si="9"/>
        <v>0</v>
      </c>
      <c r="CD23" s="136">
        <f t="shared" si="9"/>
        <v>0</v>
      </c>
      <c r="CE23" s="134">
        <f t="shared" si="9"/>
        <v>0</v>
      </c>
      <c r="CF23" s="135">
        <f t="shared" si="9"/>
        <v>0</v>
      </c>
      <c r="CG23" s="136">
        <f t="shared" si="9"/>
        <v>0</v>
      </c>
    </row>
    <row r="24" spans="13:51" ht="15" customHeight="1" thickBot="1">
      <c r="M24" s="9">
        <f>SUM(M7:M22)</f>
        <v>0</v>
      </c>
      <c r="AX24" s="179">
        <f>SUM(AX23:CG23)</f>
        <v>0</v>
      </c>
      <c r="AY24" s="179"/>
    </row>
    <row r="25" spans="1:85" ht="16.5" customHeight="1" thickBot="1">
      <c r="A25" s="80" t="s">
        <v>44</v>
      </c>
      <c r="F25" s="8"/>
      <c r="G25" s="8"/>
      <c r="N25" s="180" t="s">
        <v>77</v>
      </c>
      <c r="O25" s="192" t="s">
        <v>78</v>
      </c>
      <c r="P25" s="195" t="s">
        <v>79</v>
      </c>
      <c r="Q25" s="196"/>
      <c r="R25" s="197"/>
      <c r="AX25" s="125" t="s">
        <v>55</v>
      </c>
      <c r="AY25" s="126">
        <v>1</v>
      </c>
      <c r="AZ25" s="127"/>
      <c r="BA25" s="125" t="s">
        <v>56</v>
      </c>
      <c r="BB25" s="126">
        <v>2</v>
      </c>
      <c r="BC25" s="127"/>
      <c r="BD25" s="125" t="s">
        <v>57</v>
      </c>
      <c r="BE25" s="126">
        <v>3</v>
      </c>
      <c r="BF25" s="127"/>
      <c r="BG25" s="125" t="s">
        <v>58</v>
      </c>
      <c r="BH25" s="126">
        <v>4</v>
      </c>
      <c r="BI25" s="127"/>
      <c r="BJ25" s="125" t="s">
        <v>59</v>
      </c>
      <c r="BK25" s="126">
        <v>5</v>
      </c>
      <c r="BL25" s="127"/>
      <c r="BM25" s="125" t="s">
        <v>60</v>
      </c>
      <c r="BN25" s="126">
        <v>6</v>
      </c>
      <c r="BO25" s="127"/>
      <c r="BP25" s="125" t="s">
        <v>61</v>
      </c>
      <c r="BQ25" s="126">
        <v>7</v>
      </c>
      <c r="BR25" s="127"/>
      <c r="BS25" s="125" t="s">
        <v>62</v>
      </c>
      <c r="BT25" s="126">
        <v>8</v>
      </c>
      <c r="BU25" s="127"/>
      <c r="BV25" s="125" t="s">
        <v>63</v>
      </c>
      <c r="BW25" s="126">
        <v>9</v>
      </c>
      <c r="BX25" s="127"/>
      <c r="BY25" s="125" t="s">
        <v>64</v>
      </c>
      <c r="BZ25" s="126">
        <v>10</v>
      </c>
      <c r="CA25" s="127"/>
      <c r="CB25" s="125" t="s">
        <v>65</v>
      </c>
      <c r="CC25" s="126">
        <v>11</v>
      </c>
      <c r="CD25" s="127"/>
      <c r="CE25" s="125"/>
      <c r="CF25" s="126">
        <v>12</v>
      </c>
      <c r="CG25" s="127"/>
    </row>
    <row r="26" spans="3:85" ht="24" customHeight="1" thickBot="1">
      <c r="C26" s="11"/>
      <c r="D26" s="11"/>
      <c r="E26" s="11"/>
      <c r="F26" s="17"/>
      <c r="N26" s="181"/>
      <c r="O26" s="193"/>
      <c r="P26" s="189"/>
      <c r="Q26" s="190"/>
      <c r="R26" s="191"/>
      <c r="AX26" s="128" t="s">
        <v>66</v>
      </c>
      <c r="AY26" s="129" t="s">
        <v>67</v>
      </c>
      <c r="AZ26" s="130" t="s">
        <v>68</v>
      </c>
      <c r="BA26" s="128" t="s">
        <v>66</v>
      </c>
      <c r="BB26" s="129" t="s">
        <v>67</v>
      </c>
      <c r="BC26" s="130" t="s">
        <v>68</v>
      </c>
      <c r="BD26" s="128" t="s">
        <v>66</v>
      </c>
      <c r="BE26" s="129" t="s">
        <v>67</v>
      </c>
      <c r="BF26" s="130" t="s">
        <v>68</v>
      </c>
      <c r="BG26" s="128" t="s">
        <v>66</v>
      </c>
      <c r="BH26" s="129" t="s">
        <v>67</v>
      </c>
      <c r="BI26" s="130" t="s">
        <v>68</v>
      </c>
      <c r="BJ26" s="128" t="s">
        <v>66</v>
      </c>
      <c r="BK26" s="129" t="s">
        <v>67</v>
      </c>
      <c r="BL26" s="130" t="s">
        <v>68</v>
      </c>
      <c r="BM26" s="128" t="s">
        <v>66</v>
      </c>
      <c r="BN26" s="129" t="s">
        <v>67</v>
      </c>
      <c r="BO26" s="130" t="s">
        <v>68</v>
      </c>
      <c r="BP26" s="128" t="s">
        <v>66</v>
      </c>
      <c r="BQ26" s="129" t="s">
        <v>67</v>
      </c>
      <c r="BR26" s="130" t="s">
        <v>68</v>
      </c>
      <c r="BS26" s="128" t="s">
        <v>66</v>
      </c>
      <c r="BT26" s="129" t="s">
        <v>67</v>
      </c>
      <c r="BU26" s="130" t="s">
        <v>68</v>
      </c>
      <c r="BV26" s="128" t="s">
        <v>66</v>
      </c>
      <c r="BW26" s="129" t="s">
        <v>67</v>
      </c>
      <c r="BX26" s="130" t="s">
        <v>68</v>
      </c>
      <c r="BY26" s="128" t="s">
        <v>66</v>
      </c>
      <c r="BZ26" s="129" t="s">
        <v>67</v>
      </c>
      <c r="CA26" s="130" t="s">
        <v>68</v>
      </c>
      <c r="CB26" s="128" t="s">
        <v>66</v>
      </c>
      <c r="CC26" s="129" t="s">
        <v>67</v>
      </c>
      <c r="CD26" s="130" t="s">
        <v>68</v>
      </c>
      <c r="CE26" s="128" t="s">
        <v>66</v>
      </c>
      <c r="CF26" s="129" t="s">
        <v>67</v>
      </c>
      <c r="CG26" s="130" t="s">
        <v>68</v>
      </c>
    </row>
    <row r="27" spans="1:18" ht="19.5" customHeight="1" thickBot="1">
      <c r="A27" s="80" t="s">
        <v>45</v>
      </c>
      <c r="C27" s="11"/>
      <c r="D27" s="11"/>
      <c r="E27" s="11"/>
      <c r="F27" s="18"/>
      <c r="N27" s="182"/>
      <c r="O27" s="194"/>
      <c r="P27" s="104">
        <v>2</v>
      </c>
      <c r="Q27" s="105">
        <v>1</v>
      </c>
      <c r="R27" s="106" t="s">
        <v>80</v>
      </c>
    </row>
    <row r="28" spans="3:54" ht="26.25" customHeight="1" thickBot="1">
      <c r="C28" s="11"/>
      <c r="D28" s="11"/>
      <c r="E28" s="11"/>
      <c r="F28" s="17"/>
      <c r="N28" s="107">
        <v>1</v>
      </c>
      <c r="O28" s="108" t="s">
        <v>81</v>
      </c>
      <c r="P28" s="109" t="e">
        <f>P23</f>
        <v>#VALUE!</v>
      </c>
      <c r="Q28" s="110" t="e">
        <f>O23</f>
        <v>#VALUE!</v>
      </c>
      <c r="R28" s="111" t="e">
        <f>N23</f>
        <v>#VALUE!</v>
      </c>
      <c r="AX28" s="180" t="s">
        <v>77</v>
      </c>
      <c r="AY28" s="183" t="s">
        <v>78</v>
      </c>
      <c r="AZ28" s="186" t="s">
        <v>79</v>
      </c>
      <c r="BA28" s="187"/>
      <c r="BB28" s="188"/>
    </row>
    <row r="29" spans="1:54" ht="17.25" customHeight="1" thickBot="1">
      <c r="A29" s="80" t="s">
        <v>46</v>
      </c>
      <c r="C29" s="11"/>
      <c r="D29" s="11"/>
      <c r="E29" s="11"/>
      <c r="F29" s="18"/>
      <c r="N29" s="112">
        <v>2</v>
      </c>
      <c r="O29" s="113" t="s">
        <v>82</v>
      </c>
      <c r="P29" s="114">
        <f>S20</f>
        <v>0</v>
      </c>
      <c r="Q29" s="115">
        <f>R20</f>
        <v>0</v>
      </c>
      <c r="R29" s="116">
        <f>Q20</f>
        <v>0</v>
      </c>
      <c r="AX29" s="181"/>
      <c r="AY29" s="184"/>
      <c r="AZ29" s="189"/>
      <c r="BA29" s="190"/>
      <c r="BB29" s="191"/>
    </row>
    <row r="30" spans="6:54" ht="24.75" customHeight="1" thickBot="1">
      <c r="F30" s="5"/>
      <c r="G30" s="8"/>
      <c r="N30" s="107">
        <v>3</v>
      </c>
      <c r="O30" s="113" t="s">
        <v>83</v>
      </c>
      <c r="P30" s="109">
        <f>V20</f>
        <v>0</v>
      </c>
      <c r="Q30" s="110">
        <f>U20</f>
        <v>0</v>
      </c>
      <c r="R30" s="111">
        <f>T20</f>
        <v>0</v>
      </c>
      <c r="AX30" s="182"/>
      <c r="AY30" s="185"/>
      <c r="AZ30" s="104">
        <v>2</v>
      </c>
      <c r="BA30" s="105">
        <v>1</v>
      </c>
      <c r="BB30" s="106" t="s">
        <v>80</v>
      </c>
    </row>
    <row r="31" spans="6:54" ht="15.75" thickBot="1">
      <c r="F31" s="8"/>
      <c r="G31" s="8"/>
      <c r="N31" s="112">
        <v>4</v>
      </c>
      <c r="O31" s="113" t="s">
        <v>84</v>
      </c>
      <c r="P31" s="109">
        <f>Y20</f>
        <v>0</v>
      </c>
      <c r="Q31" s="110">
        <f>X20</f>
        <v>0</v>
      </c>
      <c r="R31" s="111">
        <f>W20</f>
        <v>0</v>
      </c>
      <c r="AX31" s="107">
        <v>1</v>
      </c>
      <c r="AY31" s="108" t="s">
        <v>81</v>
      </c>
      <c r="AZ31" s="109">
        <f>AZ23</f>
        <v>0</v>
      </c>
      <c r="BA31" s="110">
        <f>AY23</f>
        <v>0</v>
      </c>
      <c r="BB31" s="111">
        <f>AX23</f>
        <v>0</v>
      </c>
    </row>
    <row r="32" spans="6:54" ht="15" customHeight="1" thickBot="1">
      <c r="F32" s="9"/>
      <c r="G32" s="9"/>
      <c r="N32" s="107">
        <v>5</v>
      </c>
      <c r="O32" s="113" t="s">
        <v>85</v>
      </c>
      <c r="P32" s="114">
        <f>AB20</f>
        <v>0</v>
      </c>
      <c r="Q32" s="115">
        <f>AA20</f>
        <v>0</v>
      </c>
      <c r="R32" s="116">
        <f>Z20</f>
        <v>0</v>
      </c>
      <c r="AX32" s="112">
        <v>2</v>
      </c>
      <c r="AY32" s="113" t="s">
        <v>82</v>
      </c>
      <c r="AZ32" s="114">
        <f>BC23</f>
        <v>0</v>
      </c>
      <c r="BA32" s="115">
        <f>BB23</f>
        <v>0</v>
      </c>
      <c r="BB32" s="116">
        <f>BA23</f>
        <v>0</v>
      </c>
    </row>
    <row r="33" spans="1:54" ht="15.75" customHeight="1" thickBot="1">
      <c r="A33" s="80" t="s">
        <v>47</v>
      </c>
      <c r="F33" s="9"/>
      <c r="G33" s="9"/>
      <c r="N33" s="112">
        <v>6</v>
      </c>
      <c r="O33" s="113" t="s">
        <v>86</v>
      </c>
      <c r="P33" s="109">
        <f>AE20</f>
        <v>0</v>
      </c>
      <c r="Q33" s="110">
        <f>AD20</f>
        <v>0</v>
      </c>
      <c r="R33" s="111">
        <f>AC20</f>
        <v>0</v>
      </c>
      <c r="AX33" s="107">
        <v>3</v>
      </c>
      <c r="AY33" s="113" t="s">
        <v>83</v>
      </c>
      <c r="AZ33" s="109">
        <f>BF23</f>
        <v>0</v>
      </c>
      <c r="BA33" s="110">
        <f>BE23</f>
        <v>0</v>
      </c>
      <c r="BB33" s="111">
        <f>BD23</f>
        <v>0</v>
      </c>
    </row>
    <row r="34" spans="14:54" ht="15" customHeight="1" thickBot="1">
      <c r="N34" s="107">
        <v>7</v>
      </c>
      <c r="O34" s="113" t="s">
        <v>87</v>
      </c>
      <c r="P34" s="114">
        <f>AH20</f>
        <v>0</v>
      </c>
      <c r="Q34" s="115">
        <f>AG20</f>
        <v>0</v>
      </c>
      <c r="R34" s="116">
        <f>AF20</f>
        <v>0</v>
      </c>
      <c r="AX34" s="112">
        <v>4</v>
      </c>
      <c r="AY34" s="113" t="s">
        <v>84</v>
      </c>
      <c r="AZ34" s="109">
        <f>BI23</f>
        <v>0</v>
      </c>
      <c r="BA34" s="110">
        <f>BH23</f>
        <v>0</v>
      </c>
      <c r="BB34" s="111">
        <f>BG23</f>
        <v>0</v>
      </c>
    </row>
    <row r="35" spans="14:54" ht="15.75" thickBot="1">
      <c r="N35" s="112">
        <v>8</v>
      </c>
      <c r="O35" s="113" t="s">
        <v>88</v>
      </c>
      <c r="P35" s="109">
        <f>AK20</f>
        <v>0</v>
      </c>
      <c r="Q35" s="110">
        <f>AJ20</f>
        <v>0</v>
      </c>
      <c r="R35" s="111">
        <f>AI20</f>
        <v>0</v>
      </c>
      <c r="AX35" s="107">
        <v>5</v>
      </c>
      <c r="AY35" s="113" t="s">
        <v>85</v>
      </c>
      <c r="AZ35" s="114">
        <f>BL23</f>
        <v>0</v>
      </c>
      <c r="BA35" s="115">
        <f>BK23</f>
        <v>0</v>
      </c>
      <c r="BB35" s="116">
        <f>BJ23</f>
        <v>0</v>
      </c>
    </row>
    <row r="36" spans="14:54" ht="15" customHeight="1" thickBot="1">
      <c r="N36" s="107">
        <v>9</v>
      </c>
      <c r="O36" s="113" t="s">
        <v>89</v>
      </c>
      <c r="P36" s="114">
        <f>AN20</f>
        <v>0</v>
      </c>
      <c r="Q36" s="115">
        <f>AM20</f>
        <v>0</v>
      </c>
      <c r="R36" s="116">
        <f>AL20</f>
        <v>0</v>
      </c>
      <c r="AX36" s="112">
        <v>6</v>
      </c>
      <c r="AY36" s="113" t="s">
        <v>86</v>
      </c>
      <c r="AZ36" s="109">
        <f>BO23</f>
        <v>0</v>
      </c>
      <c r="BA36" s="110">
        <f>BN23</f>
        <v>0</v>
      </c>
      <c r="BB36" s="111">
        <f>BM23</f>
        <v>0</v>
      </c>
    </row>
    <row r="37" spans="14:54" ht="15.75" thickBot="1">
      <c r="N37" s="112">
        <v>10</v>
      </c>
      <c r="O37" s="113" t="s">
        <v>90</v>
      </c>
      <c r="P37" s="109">
        <f>AQ20</f>
        <v>0</v>
      </c>
      <c r="Q37" s="110">
        <f>AP20</f>
        <v>0</v>
      </c>
      <c r="R37" s="111">
        <f>AO20</f>
        <v>0</v>
      </c>
      <c r="AX37" s="107">
        <v>7</v>
      </c>
      <c r="AY37" s="113" t="s">
        <v>87</v>
      </c>
      <c r="AZ37" s="114">
        <f>BR23</f>
        <v>0</v>
      </c>
      <c r="BA37" s="115">
        <f>BQ23</f>
        <v>0</v>
      </c>
      <c r="BB37" s="116">
        <f>BP23</f>
        <v>0</v>
      </c>
    </row>
    <row r="38" spans="14:54" ht="15" customHeight="1" thickBot="1">
      <c r="N38" s="107">
        <v>11</v>
      </c>
      <c r="O38" s="117" t="s">
        <v>91</v>
      </c>
      <c r="P38" s="114">
        <f>AT20</f>
        <v>0</v>
      </c>
      <c r="Q38" s="115">
        <f>AS20</f>
        <v>0</v>
      </c>
      <c r="R38" s="116">
        <f>AR20</f>
        <v>0</v>
      </c>
      <c r="AX38" s="112">
        <v>8</v>
      </c>
      <c r="AY38" s="113" t="s">
        <v>88</v>
      </c>
      <c r="AZ38" s="109">
        <f>BU23</f>
        <v>0</v>
      </c>
      <c r="BA38" s="110">
        <f>BT23</f>
        <v>0</v>
      </c>
      <c r="BB38" s="111">
        <f>BS23</f>
        <v>0</v>
      </c>
    </row>
    <row r="39" spans="14:54" ht="15.75" thickBot="1">
      <c r="N39" s="112">
        <v>12</v>
      </c>
      <c r="O39" s="117" t="s">
        <v>92</v>
      </c>
      <c r="P39" s="109">
        <f>AW20</f>
        <v>0</v>
      </c>
      <c r="Q39" s="110">
        <f>AV20</f>
        <v>0</v>
      </c>
      <c r="R39" s="111">
        <f>AU20</f>
        <v>0</v>
      </c>
      <c r="AX39" s="107">
        <v>9</v>
      </c>
      <c r="AY39" s="113" t="s">
        <v>89</v>
      </c>
      <c r="AZ39" s="114">
        <f>BX23</f>
        <v>0</v>
      </c>
      <c r="BA39" s="115">
        <f>BW23</f>
        <v>0</v>
      </c>
      <c r="BB39" s="116">
        <f>BV23</f>
        <v>0</v>
      </c>
    </row>
    <row r="40" spans="14:54" ht="15" customHeight="1" thickBot="1">
      <c r="N40" s="118"/>
      <c r="O40" s="119"/>
      <c r="P40" s="120" t="e">
        <f>SUM(P28:P39)</f>
        <v>#VALUE!</v>
      </c>
      <c r="Q40" s="121" t="e">
        <f>SUM(Q28:Q39)</f>
        <v>#VALUE!</v>
      </c>
      <c r="R40" s="122" t="e">
        <f>SUM(R28:R39)</f>
        <v>#VALUE!</v>
      </c>
      <c r="AX40" s="112">
        <v>10</v>
      </c>
      <c r="AY40" s="113" t="s">
        <v>90</v>
      </c>
      <c r="AZ40" s="109">
        <f>CA23</f>
        <v>0</v>
      </c>
      <c r="BA40" s="110">
        <f>BZ23</f>
        <v>0</v>
      </c>
      <c r="BB40" s="111">
        <f>BY23</f>
        <v>0</v>
      </c>
    </row>
    <row r="41" spans="14:54" ht="15.75" customHeight="1" thickBot="1">
      <c r="N41" s="123"/>
      <c r="O41" s="124"/>
      <c r="P41" s="176" t="e">
        <f>SUM(P40:R40)</f>
        <v>#VALUE!</v>
      </c>
      <c r="Q41" s="177"/>
      <c r="R41" s="178"/>
      <c r="AX41" s="107">
        <v>11</v>
      </c>
      <c r="AY41" s="117" t="s">
        <v>91</v>
      </c>
      <c r="AZ41" s="114">
        <f>CD23</f>
        <v>0</v>
      </c>
      <c r="BA41" s="115">
        <f>CC23</f>
        <v>0</v>
      </c>
      <c r="BB41" s="116">
        <f>CB23</f>
        <v>0</v>
      </c>
    </row>
    <row r="42" spans="50:54" ht="15.75" thickBot="1">
      <c r="AX42" s="112">
        <v>12</v>
      </c>
      <c r="AY42" s="117" t="s">
        <v>92</v>
      </c>
      <c r="AZ42" s="109">
        <f>CG23</f>
        <v>0</v>
      </c>
      <c r="BA42" s="110">
        <f>CF23</f>
        <v>0</v>
      </c>
      <c r="BB42" s="111">
        <f>CE23</f>
        <v>0</v>
      </c>
    </row>
    <row r="43" spans="50:54" ht="15">
      <c r="AX43" s="118"/>
      <c r="AY43" s="119"/>
      <c r="AZ43" s="120">
        <f>SUM(AZ31:AZ42)</f>
        <v>0</v>
      </c>
      <c r="BA43" s="121">
        <f>SUM(BA31:BA42)</f>
        <v>0</v>
      </c>
      <c r="BB43" s="122">
        <f>SUM(BB31:BB42)</f>
        <v>0</v>
      </c>
    </row>
    <row r="44" spans="50:54" ht="15.75" thickBot="1">
      <c r="AX44" s="123"/>
      <c r="AY44" s="124"/>
      <c r="AZ44" s="176">
        <f>SUM(AZ43:BB43)</f>
        <v>0</v>
      </c>
      <c r="BA44" s="177"/>
      <c r="BB44" s="178"/>
    </row>
  </sheetData>
  <sheetProtection/>
  <mergeCells count="694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J7:J8"/>
    <mergeCell ref="J9:J10"/>
    <mergeCell ref="J11:J12"/>
    <mergeCell ref="J13:J14"/>
    <mergeCell ref="J15:J16"/>
    <mergeCell ref="J17:J1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BX9:BX10"/>
    <mergeCell ref="BY9:BY10"/>
    <mergeCell ref="BZ9:BZ10"/>
    <mergeCell ref="CA9:CA10"/>
    <mergeCell ref="CB9:CB10"/>
    <mergeCell ref="CC9:CC10"/>
    <mergeCell ref="CD9:CD10"/>
    <mergeCell ref="CE9:CE10"/>
    <mergeCell ref="CF9:CF10"/>
    <mergeCell ref="CG9:CG10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W15:BW16"/>
    <mergeCell ref="BX15:BX16"/>
    <mergeCell ref="BY15:BY16"/>
    <mergeCell ref="BZ15:BZ16"/>
    <mergeCell ref="CA15:CA16"/>
    <mergeCell ref="CB15:CB16"/>
    <mergeCell ref="CC15:CC16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W19:BW20"/>
    <mergeCell ref="BX19:BX20"/>
    <mergeCell ref="BY19:BY20"/>
    <mergeCell ref="BZ19:BZ20"/>
    <mergeCell ref="CA19:CA20"/>
    <mergeCell ref="CB19:CB20"/>
    <mergeCell ref="CC19:CC20"/>
    <mergeCell ref="CD19:CD20"/>
    <mergeCell ref="CE19:CE20"/>
    <mergeCell ref="CF19:CF20"/>
    <mergeCell ref="CG19:CG20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AZ44:BB44"/>
    <mergeCell ref="AX24:AY24"/>
    <mergeCell ref="AX28:AX30"/>
    <mergeCell ref="AY28:AY30"/>
    <mergeCell ref="AZ28:BB28"/>
    <mergeCell ref="AZ29:BB29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PageLayoutView="0" workbookViewId="0" topLeftCell="B1">
      <selection activeCell="B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75" t="s">
        <v>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X1" s="158"/>
      <c r="Y1" s="158"/>
      <c r="Z1" s="158"/>
      <c r="AA1" s="158"/>
    </row>
    <row r="2" spans="3:27" ht="26.25" customHeight="1" thickBot="1">
      <c r="C2" s="224" t="s">
        <v>26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X2" s="158"/>
      <c r="Y2" s="158"/>
      <c r="Z2" s="158"/>
      <c r="AA2" s="158"/>
    </row>
    <row r="3" spans="1:27" ht="30.75" customHeight="1" thickBot="1">
      <c r="A3" s="6"/>
      <c r="B3" s="6"/>
      <c r="C3" s="278" t="str">
        <f>'[1]реквизиты'!$A$2</f>
        <v>Первенство России по БОЕВОМУ САМБО среди юниоров 1996-1997г.р .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X3" s="158"/>
      <c r="Y3" s="158"/>
      <c r="Z3" s="158"/>
      <c r="AA3" s="158"/>
    </row>
    <row r="4" spans="1:27" ht="26.25" customHeight="1" thickBot="1">
      <c r="A4" s="40"/>
      <c r="B4" s="40"/>
      <c r="C4" s="281" t="str">
        <f>'[1]реквизиты'!$A$3</f>
        <v>12-15 октября 2016.                                                         г.Кстово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X4" s="158"/>
      <c r="Y4" s="158"/>
      <c r="Z4" s="158"/>
      <c r="AA4" s="158"/>
    </row>
    <row r="5" spans="8:27" ht="27.75" customHeight="1" thickBot="1">
      <c r="H5" s="300" t="str">
        <f>HYPERLINK('пр.взв.'!D4)</f>
        <v>в.к. 48 кг</v>
      </c>
      <c r="I5" s="301"/>
      <c r="J5" s="301"/>
      <c r="K5" s="301"/>
      <c r="L5" s="301"/>
      <c r="M5" s="301"/>
      <c r="N5" s="302"/>
      <c r="O5" s="288" t="s">
        <v>104</v>
      </c>
      <c r="P5" s="289"/>
      <c r="Q5" s="290"/>
      <c r="X5" s="158"/>
      <c r="Y5" s="158"/>
      <c r="Z5" s="158"/>
      <c r="AA5" s="158"/>
    </row>
    <row r="6" spans="5:27" ht="15" customHeight="1">
      <c r="E6" s="70"/>
      <c r="F6" s="70"/>
      <c r="G6" s="70"/>
      <c r="H6" s="72"/>
      <c r="I6" s="73"/>
      <c r="J6" s="73"/>
      <c r="K6" s="73"/>
      <c r="L6" s="73"/>
      <c r="M6" s="73"/>
      <c r="N6" s="70"/>
      <c r="O6" s="70"/>
      <c r="P6" s="70"/>
      <c r="Q6" s="70"/>
      <c r="X6" s="158"/>
      <c r="Y6" s="158"/>
      <c r="Z6" s="158"/>
      <c r="AA6" s="158"/>
    </row>
    <row r="7" spans="1:27" ht="18" customHeight="1" thickBot="1">
      <c r="A7" s="256" t="s">
        <v>0</v>
      </c>
      <c r="B7" s="256"/>
      <c r="E7" s="74"/>
      <c r="F7" s="74"/>
      <c r="G7" s="74"/>
      <c r="H7" s="74"/>
      <c r="I7" s="303" t="s">
        <v>19</v>
      </c>
      <c r="J7" s="303"/>
      <c r="K7" s="303"/>
      <c r="L7" s="303"/>
      <c r="M7" s="303"/>
      <c r="N7" s="74"/>
      <c r="O7" s="74"/>
      <c r="P7" s="74"/>
      <c r="Q7" s="75"/>
      <c r="R7" s="31"/>
      <c r="S7" s="22"/>
      <c r="T7" s="277" t="s">
        <v>1</v>
      </c>
      <c r="U7" s="277"/>
      <c r="X7" s="158"/>
      <c r="Y7" s="158"/>
      <c r="Z7" s="158"/>
      <c r="AA7" s="158"/>
    </row>
    <row r="8" spans="1:27" ht="12.75" customHeight="1" thickBot="1">
      <c r="A8" s="233">
        <v>1</v>
      </c>
      <c r="B8" s="257" t="str">
        <f>VLOOKUP('пр.хода'!A8,'пр.взв.'!B7:C22,2,FALSE)</f>
        <v>ГАДЖИВЕРДИЕВ Эльвин Габил оглы</v>
      </c>
      <c r="C8" s="259" t="str">
        <f>VLOOKUP(A8,'пр.взв.'!B7:H22,3,FALSE)</f>
        <v>05.03.97 1р</v>
      </c>
      <c r="D8" s="259" t="str">
        <f>VLOOKUP(A8,'пр.взв.'!B$7:H$22,4,FALSE)</f>
        <v>Москва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35" t="e">
        <f>VLOOKUP(U8,'пр.взв.'!B7:F22,2,FALSE)</f>
        <v>#N/A</v>
      </c>
      <c r="S8" s="270" t="e">
        <f>VLOOKUP(U8,'пр.взв.'!B7:F22,3,FALSE)</f>
        <v>#N/A</v>
      </c>
      <c r="T8" s="270" t="e">
        <f>VLOOKUP(U8,'пр.взв.'!B$7:F$22,4,FALSE)</f>
        <v>#N/A</v>
      </c>
      <c r="U8" s="254">
        <v>2</v>
      </c>
      <c r="X8" s="158"/>
      <c r="Y8" s="158"/>
      <c r="Z8" s="158"/>
      <c r="AA8" s="158"/>
    </row>
    <row r="9" spans="1:27" ht="12.75" customHeight="1">
      <c r="A9" s="234"/>
      <c r="B9" s="258"/>
      <c r="C9" s="260"/>
      <c r="D9" s="260"/>
      <c r="E9" s="76"/>
      <c r="F9" s="91"/>
      <c r="G9" s="92"/>
      <c r="H9" s="62">
        <v>1</v>
      </c>
      <c r="I9" s="261" t="str">
        <f>VLOOKUP(H9,'пр.взв.'!B7:F22,2,FALSE)</f>
        <v>ГАДЖИВЕРДИЕВ Эльвин Габил оглы</v>
      </c>
      <c r="J9" s="262"/>
      <c r="K9" s="262"/>
      <c r="L9" s="262"/>
      <c r="M9" s="263"/>
      <c r="N9" s="91"/>
      <c r="O9" s="91"/>
      <c r="P9" s="91"/>
      <c r="Q9" s="76"/>
      <c r="R9" s="253"/>
      <c r="S9" s="271"/>
      <c r="T9" s="271"/>
      <c r="U9" s="255"/>
      <c r="X9" s="158"/>
      <c r="Y9" s="158"/>
      <c r="Z9" s="158"/>
      <c r="AA9" s="158"/>
    </row>
    <row r="10" spans="1:27" ht="12.75" customHeight="1" thickBot="1">
      <c r="A10" s="267">
        <v>5</v>
      </c>
      <c r="B10" s="251" t="e">
        <f>VLOOKUP('пр.хода'!A10,'пр.взв.'!B9:C24,2,FALSE)</f>
        <v>#N/A</v>
      </c>
      <c r="C10" s="248" t="e">
        <f>VLOOKUP(A10,'пр.взв.'!B7:H22,3,FALSE)</f>
        <v>#N/A</v>
      </c>
      <c r="D10" s="248" t="e">
        <f>VLOOKUP(A10,'пр.взв.'!B$7:H$22,4,FALSE)</f>
        <v>#N/A</v>
      </c>
      <c r="E10" s="83"/>
      <c r="F10" s="93"/>
      <c r="G10" s="94"/>
      <c r="H10" s="95"/>
      <c r="I10" s="264"/>
      <c r="J10" s="265"/>
      <c r="K10" s="265"/>
      <c r="L10" s="265"/>
      <c r="M10" s="266"/>
      <c r="N10" s="91"/>
      <c r="O10" s="96"/>
      <c r="P10" s="93"/>
      <c r="Q10" s="83"/>
      <c r="R10" s="251" t="e">
        <f>VLOOKUP(U10,'пр.взв.'!B9:F24,2,FALSE)</f>
        <v>#N/A</v>
      </c>
      <c r="S10" s="248" t="e">
        <f>VLOOKUP(U10,'пр.взв.'!B9:F24,3,FALSE)</f>
        <v>#N/A</v>
      </c>
      <c r="T10" s="248" t="e">
        <f>VLOOKUP(U10,'пр.взв.'!B$7:F$22,4,FALSE)</f>
        <v>#N/A</v>
      </c>
      <c r="U10" s="254">
        <v>6</v>
      </c>
      <c r="X10" s="158"/>
      <c r="Y10" s="158"/>
      <c r="Z10" s="158"/>
      <c r="AA10" s="158"/>
    </row>
    <row r="11" spans="1:27" ht="12.75" customHeight="1" thickBot="1">
      <c r="A11" s="234"/>
      <c r="B11" s="253"/>
      <c r="C11" s="271"/>
      <c r="D11" s="271"/>
      <c r="E11" s="91"/>
      <c r="F11" s="95"/>
      <c r="G11" s="76"/>
      <c r="H11" s="97"/>
      <c r="I11" s="91"/>
      <c r="J11" s="91"/>
      <c r="K11" s="84"/>
      <c r="L11" s="91"/>
      <c r="M11" s="91"/>
      <c r="N11" s="95"/>
      <c r="O11" s="76"/>
      <c r="P11" s="95"/>
      <c r="Q11" s="91"/>
      <c r="R11" s="253"/>
      <c r="S11" s="271"/>
      <c r="T11" s="271"/>
      <c r="U11" s="255"/>
      <c r="X11" s="158"/>
      <c r="Y11" s="158"/>
      <c r="Z11" s="158"/>
      <c r="AA11" s="158"/>
    </row>
    <row r="12" spans="1:27" ht="12.75" customHeight="1" thickBot="1">
      <c r="A12" s="233">
        <v>3</v>
      </c>
      <c r="B12" s="235" t="e">
        <f>VLOOKUP('пр.хода'!A12,'пр.взв.'!B11:C26,2,FALSE)</f>
        <v>#N/A</v>
      </c>
      <c r="C12" s="270" t="e">
        <f>VLOOKUP(A12,'пр.взв.'!B7:H22,3,FALSE)</f>
        <v>#N/A</v>
      </c>
      <c r="D12" s="270" t="e">
        <f>VLOOKUP(A12,'пр.взв.'!B$7:H$22,4,FALSE)</f>
        <v>#N/A</v>
      </c>
      <c r="E12" s="91"/>
      <c r="F12" s="95"/>
      <c r="G12" s="83"/>
      <c r="H12" s="97"/>
      <c r="I12" s="91"/>
      <c r="J12" s="91"/>
      <c r="K12" s="91"/>
      <c r="L12" s="91"/>
      <c r="M12" s="91"/>
      <c r="N12" s="95"/>
      <c r="O12" s="83"/>
      <c r="P12" s="95"/>
      <c r="Q12" s="91"/>
      <c r="R12" s="235" t="e">
        <f>VLOOKUP(U12,'пр.взв.'!B11:F26,2,FALSE)</f>
        <v>#N/A</v>
      </c>
      <c r="S12" s="270" t="e">
        <f>VLOOKUP(U12,'пр.взв.'!B11:F26,3,FALSE)</f>
        <v>#N/A</v>
      </c>
      <c r="T12" s="270" t="e">
        <f>VLOOKUP(U12,'пр.взв.'!B$7:F$22,4,FALSE)</f>
        <v>#N/A</v>
      </c>
      <c r="U12" s="276">
        <v>4</v>
      </c>
      <c r="X12" s="158"/>
      <c r="Y12" s="158"/>
      <c r="Z12" s="158"/>
      <c r="AA12" s="158"/>
    </row>
    <row r="13" spans="1:27" ht="12.75" customHeight="1" thickBot="1">
      <c r="A13" s="234"/>
      <c r="B13" s="253"/>
      <c r="C13" s="271"/>
      <c r="D13" s="271"/>
      <c r="E13" s="76"/>
      <c r="F13" s="98"/>
      <c r="G13" s="94"/>
      <c r="H13" s="95"/>
      <c r="I13" s="91" t="s">
        <v>30</v>
      </c>
      <c r="J13" s="91"/>
      <c r="K13" s="91"/>
      <c r="L13" s="91"/>
      <c r="M13" s="91"/>
      <c r="N13" s="95"/>
      <c r="O13" s="96"/>
      <c r="P13" s="98"/>
      <c r="Q13" s="76"/>
      <c r="R13" s="253"/>
      <c r="S13" s="271"/>
      <c r="T13" s="271"/>
      <c r="U13" s="255"/>
      <c r="X13" s="158"/>
      <c r="Y13" s="158"/>
      <c r="Z13" s="158"/>
      <c r="AA13" s="158"/>
    </row>
    <row r="14" spans="1:27" ht="12.75" customHeight="1" thickBot="1">
      <c r="A14" s="267">
        <v>7</v>
      </c>
      <c r="B14" s="251" t="e">
        <f>VLOOKUP('пр.хода'!A14,'пр.взв.'!B13:C28,2,FALSE)</f>
        <v>#N/A</v>
      </c>
      <c r="C14" s="248" t="e">
        <f>VLOOKUP(A14,'пр.взв.'!B7:H22,3,FALSE)</f>
        <v>#N/A</v>
      </c>
      <c r="D14" s="272" t="e">
        <f>VLOOKUP(A14,'пр.взв.'!B$7:H$22,4,FALSE)</f>
        <v>#N/A</v>
      </c>
      <c r="E14" s="83"/>
      <c r="F14" s="91"/>
      <c r="G14" s="92"/>
      <c r="H14" s="62"/>
      <c r="I14" s="282" t="e">
        <f>VLOOKUP(H14,'пр.взв.'!B5:F27,2,FALSE)</f>
        <v>#N/A</v>
      </c>
      <c r="J14" s="283"/>
      <c r="K14" s="283"/>
      <c r="L14" s="283"/>
      <c r="M14" s="284"/>
      <c r="N14" s="91"/>
      <c r="O14" s="91"/>
      <c r="P14" s="91"/>
      <c r="Q14" s="83"/>
      <c r="R14" s="251" t="e">
        <f>VLOOKUP(U14,'пр.взв.'!B13:F28,2,FALSE)</f>
        <v>#N/A</v>
      </c>
      <c r="S14" s="248" t="e">
        <f>VLOOKUP(U14,'пр.взв.'!B13:F28,3,FALSE)</f>
        <v>#N/A</v>
      </c>
      <c r="T14" s="272" t="e">
        <f>VLOOKUP(U14,'пр.взв.'!B$7:F$22,4,FALSE)</f>
        <v>#N/A</v>
      </c>
      <c r="U14" s="254">
        <v>8</v>
      </c>
      <c r="X14" s="158"/>
      <c r="Y14" s="158"/>
      <c r="Z14" s="158"/>
      <c r="AA14" s="158"/>
    </row>
    <row r="15" spans="1:27" ht="12.75" customHeight="1" thickBot="1">
      <c r="A15" s="274"/>
      <c r="B15" s="236"/>
      <c r="C15" s="252"/>
      <c r="D15" s="252"/>
      <c r="E15" s="91"/>
      <c r="F15" s="91"/>
      <c r="G15" s="92"/>
      <c r="H15" s="95"/>
      <c r="I15" s="285"/>
      <c r="J15" s="286"/>
      <c r="K15" s="286"/>
      <c r="L15" s="286"/>
      <c r="M15" s="287"/>
      <c r="N15" s="91"/>
      <c r="O15" s="91"/>
      <c r="P15" s="91"/>
      <c r="Q15" s="91"/>
      <c r="R15" s="236"/>
      <c r="S15" s="252"/>
      <c r="T15" s="252"/>
      <c r="U15" s="273"/>
      <c r="X15" s="158"/>
      <c r="Y15" s="158"/>
      <c r="Z15" s="158"/>
      <c r="AA15" s="158"/>
    </row>
    <row r="16" spans="1:27" ht="12.75" customHeight="1">
      <c r="A16" s="1"/>
      <c r="B16" s="1"/>
      <c r="C16" s="1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2"/>
      <c r="S16" s="22"/>
      <c r="T16" s="22"/>
      <c r="U16" s="21"/>
      <c r="X16" s="158"/>
      <c r="Y16" s="158"/>
      <c r="Z16" s="158"/>
      <c r="AA16" s="158"/>
    </row>
    <row r="17" spans="1:27" ht="12" customHeight="1">
      <c r="A17" s="268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69" t="s">
        <v>3</v>
      </c>
      <c r="X17" s="158"/>
      <c r="Y17" s="158"/>
      <c r="Z17" s="158"/>
      <c r="AA17" s="158"/>
    </row>
    <row r="18" spans="1:27" ht="12.75" customHeight="1">
      <c r="A18" s="268"/>
      <c r="G18" s="299" t="s">
        <v>28</v>
      </c>
      <c r="H18" s="299"/>
      <c r="I18" s="299"/>
      <c r="J18" s="299"/>
      <c r="K18" s="299"/>
      <c r="L18" s="299"/>
      <c r="M18" s="299"/>
      <c r="N18" s="299"/>
      <c r="O18" s="299"/>
      <c r="R18" s="22"/>
      <c r="S18" s="22"/>
      <c r="T18" s="22"/>
      <c r="U18" s="269"/>
      <c r="X18" s="158"/>
      <c r="Y18" s="158" t="s">
        <v>96</v>
      </c>
      <c r="Z18" s="158" t="s">
        <v>97</v>
      </c>
      <c r="AA18" s="158"/>
    </row>
    <row r="19" spans="1:27" ht="12.75" customHeight="1">
      <c r="A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9"/>
      <c r="T19" s="100"/>
      <c r="U19" s="99"/>
      <c r="V19" s="99"/>
      <c r="X19" s="153"/>
      <c r="Y19" s="154" t="str">
        <f>IF(G11=""," ",IF(G11=E9,E13,E9))</f>
        <v> </v>
      </c>
      <c r="Z19" s="155"/>
      <c r="AA19" s="153"/>
    </row>
    <row r="20" spans="1:27" ht="12.75" customHeight="1" thickBot="1">
      <c r="A20" s="9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159"/>
      <c r="T20" s="159"/>
      <c r="U20" s="99"/>
      <c r="V20" s="99"/>
      <c r="X20" s="153"/>
      <c r="Y20" s="154" t="str">
        <f>IF(O11=""," ",IF(O11=Q9,Q13,Q9))</f>
        <v> </v>
      </c>
      <c r="Z20" s="155"/>
      <c r="AA20" s="153"/>
    </row>
    <row r="21" spans="1:27" ht="12.75" customHeight="1">
      <c r="A21" s="78" t="str">
        <f>Y21</f>
        <v> </v>
      </c>
      <c r="B21" s="247" t="e">
        <f>VLOOKUP(A21,'пр.взв.'!B7:F22,2,FALSE)</f>
        <v>#N/A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291" t="e">
        <f>VLOOKUP(U21,'пр.взв.'!B7:F22,2,FALSE)</f>
        <v>#N/A</v>
      </c>
      <c r="T21" s="292"/>
      <c r="U21" s="79" t="str">
        <f>Y22</f>
        <v> </v>
      </c>
      <c r="V21" s="99"/>
      <c r="X21" s="153"/>
      <c r="Y21" s="154" t="str">
        <f>IF(A10=""," ",IF(E9=""," ",IF(E9=A8,A10,IF(E9=A10,A8,"Х"))))</f>
        <v> </v>
      </c>
      <c r="Z21" s="155" t="str">
        <f>IF(C22=""," ",IF(C22=E25,B27,C22))</f>
        <v> </v>
      </c>
      <c r="AA21" s="153"/>
    </row>
    <row r="22" spans="1:27" ht="12.75" customHeight="1">
      <c r="A22" s="78"/>
      <c r="B22" s="248"/>
      <c r="C22" s="161"/>
      <c r="D22" s="162"/>
      <c r="E22" s="159"/>
      <c r="F22" s="159"/>
      <c r="G22" s="159"/>
      <c r="H22" s="159"/>
      <c r="I22" s="159"/>
      <c r="J22" s="163"/>
      <c r="K22" s="159"/>
      <c r="L22" s="159"/>
      <c r="M22" s="159"/>
      <c r="N22" s="159"/>
      <c r="O22" s="159"/>
      <c r="P22" s="159"/>
      <c r="Q22" s="159"/>
      <c r="R22" s="164"/>
      <c r="S22" s="293"/>
      <c r="T22" s="294"/>
      <c r="U22" s="79"/>
      <c r="V22" s="99"/>
      <c r="X22" s="153"/>
      <c r="Y22" s="154" t="str">
        <f>IF(U10=""," ",IF(Q9=""," ",IF(Q9=U8,U10,IF(Q9=U10,U8,"Х"))))</f>
        <v> </v>
      </c>
      <c r="Z22" s="155" t="str">
        <f>IF(R22=""," ",IF(R22=Q25,S27,R22))</f>
        <v> </v>
      </c>
      <c r="AA22" s="153"/>
    </row>
    <row r="23" spans="1:27" ht="12.75" customHeight="1">
      <c r="A23" s="78" t="str">
        <f>Y23</f>
        <v> </v>
      </c>
      <c r="B23" s="249" t="e">
        <f>VLOOKUP(A23,'пр.взв.'!B7:F22,2,FALSE)</f>
        <v>#N/A</v>
      </c>
      <c r="C23" s="165"/>
      <c r="D23" s="166"/>
      <c r="E23" s="159"/>
      <c r="F23" s="159"/>
      <c r="G23" s="159" t="s">
        <v>42</v>
      </c>
      <c r="H23" s="159"/>
      <c r="I23" s="159"/>
      <c r="J23" s="163"/>
      <c r="K23" s="159"/>
      <c r="L23" s="159"/>
      <c r="M23" s="159"/>
      <c r="N23" s="159" t="s">
        <v>42</v>
      </c>
      <c r="O23" s="159"/>
      <c r="P23" s="159"/>
      <c r="Q23" s="159"/>
      <c r="R23" s="167"/>
      <c r="S23" s="295" t="e">
        <f>VLOOKUP(U23,'пр.взв.'!B7:F22,2,FALSE)</f>
        <v>#N/A</v>
      </c>
      <c r="T23" s="296"/>
      <c r="U23" s="79" t="str">
        <f>Y24</f>
        <v> </v>
      </c>
      <c r="V23" s="99"/>
      <c r="X23" s="153"/>
      <c r="Y23" s="154" t="str">
        <f>IF(A14=""," ",IF(E13=""," ",IF(E13=A12,A14,IF(E13=A14,A12,"Х"))))</f>
        <v> </v>
      </c>
      <c r="Z23" s="155" t="str">
        <f>IF(A23=""," ",IF(A23=C22,A21,A23))</f>
        <v> </v>
      </c>
      <c r="AA23" s="153"/>
    </row>
    <row r="24" spans="1:27" ht="13.5" thickBot="1">
      <c r="A24" s="101"/>
      <c r="B24" s="250"/>
      <c r="C24" s="163"/>
      <c r="D24" s="166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8"/>
      <c r="S24" s="297"/>
      <c r="T24" s="298"/>
      <c r="U24" s="79"/>
      <c r="V24" s="99"/>
      <c r="X24" s="153"/>
      <c r="Y24" s="154" t="str">
        <f>IF(U14=""," ",IF(Q13=""," ",IF(Q13=U12,U14,IF(Q13=U14,U12,"Х"))))</f>
        <v> </v>
      </c>
      <c r="Z24" s="155" t="str">
        <f>IF(U23=""," ",IF(U23=R22,U21,U23))</f>
        <v> </v>
      </c>
      <c r="AA24" s="153"/>
    </row>
    <row r="25" spans="1:27" ht="12.75">
      <c r="A25" s="99"/>
      <c r="B25" s="159"/>
      <c r="C25" s="163"/>
      <c r="D25" s="166"/>
      <c r="E25" s="169"/>
      <c r="F25" s="238" t="e">
        <f>VLOOKUP(E25,'пр.взв.'!B7:D22,2,FALSE)</f>
        <v>#N/A</v>
      </c>
      <c r="G25" s="238"/>
      <c r="H25" s="238"/>
      <c r="I25" s="239"/>
      <c r="J25" s="159"/>
      <c r="K25" s="159"/>
      <c r="L25" s="159"/>
      <c r="M25" s="237" t="e">
        <f>VLOOKUP(Q25,'пр.взв.'!B7:C22,2,FALSE)</f>
        <v>#N/A</v>
      </c>
      <c r="N25" s="238"/>
      <c r="O25" s="238"/>
      <c r="P25" s="239"/>
      <c r="Q25" s="170"/>
      <c r="R25" s="168"/>
      <c r="S25" s="159"/>
      <c r="T25" s="159"/>
      <c r="U25" s="99"/>
      <c r="V25" s="99"/>
      <c r="X25" s="153"/>
      <c r="Y25" s="153"/>
      <c r="Z25" s="153"/>
      <c r="AA25" s="153"/>
    </row>
    <row r="26" spans="1:27" ht="14.25" thickBot="1">
      <c r="A26" s="103"/>
      <c r="B26" s="159"/>
      <c r="C26" s="163"/>
      <c r="D26" s="166"/>
      <c r="E26" s="171"/>
      <c r="F26" s="240"/>
      <c r="G26" s="241"/>
      <c r="H26" s="241"/>
      <c r="I26" s="242"/>
      <c r="J26" s="172"/>
      <c r="K26" s="172"/>
      <c r="L26" s="172"/>
      <c r="M26" s="240"/>
      <c r="N26" s="241"/>
      <c r="O26" s="241"/>
      <c r="P26" s="242"/>
      <c r="Q26" s="173"/>
      <c r="R26" s="163"/>
      <c r="S26" s="159"/>
      <c r="T26" s="159"/>
      <c r="U26" s="99"/>
      <c r="V26" s="99"/>
      <c r="X26" s="153"/>
      <c r="Y26" s="153"/>
      <c r="Z26" s="153"/>
      <c r="AA26" s="153"/>
    </row>
    <row r="27" spans="1:27" ht="13.5">
      <c r="A27" s="33"/>
      <c r="B27" s="172" t="str">
        <f>Y20</f>
        <v> </v>
      </c>
      <c r="C27" s="243" t="e">
        <f>VLOOKUP(B27,'пр.взв.'!B7:F22,2,FALSE)</f>
        <v>#N/A</v>
      </c>
      <c r="D27" s="244"/>
      <c r="E27" s="159"/>
      <c r="F27" s="174"/>
      <c r="G27" s="174"/>
      <c r="H27" s="174"/>
      <c r="I27" s="174"/>
      <c r="J27" s="172"/>
      <c r="K27" s="172"/>
      <c r="L27" s="172"/>
      <c r="M27" s="174"/>
      <c r="N27" s="174"/>
      <c r="O27" s="174"/>
      <c r="P27" s="174"/>
      <c r="Q27" s="159"/>
      <c r="R27" s="235" t="e">
        <f>VLOOKUP(S27,'пр.взв.'!B7:F22,2,FALSE)</f>
        <v>#N/A</v>
      </c>
      <c r="S27" s="175" t="str">
        <f>Y19</f>
        <v> </v>
      </c>
      <c r="T27" s="159"/>
      <c r="U27" s="99"/>
      <c r="V27" s="99"/>
      <c r="X27" s="153"/>
      <c r="Y27" s="153"/>
      <c r="Z27" s="153"/>
      <c r="AA27" s="153"/>
    </row>
    <row r="28" spans="1:27" ht="13.5" thickBot="1">
      <c r="A28" s="102"/>
      <c r="B28" s="159"/>
      <c r="C28" s="245"/>
      <c r="D28" s="246"/>
      <c r="E28" s="159"/>
      <c r="F28" s="163"/>
      <c r="G28" s="163"/>
      <c r="H28" s="163"/>
      <c r="I28" s="163"/>
      <c r="J28" s="159"/>
      <c r="K28" s="159"/>
      <c r="L28" s="159"/>
      <c r="M28" s="159"/>
      <c r="N28" s="159"/>
      <c r="O28" s="159"/>
      <c r="P28" s="159"/>
      <c r="Q28" s="159"/>
      <c r="R28" s="236"/>
      <c r="S28" s="159"/>
      <c r="T28" s="159"/>
      <c r="U28" s="99"/>
      <c r="V28" s="99"/>
      <c r="X28" s="156"/>
      <c r="Y28" s="153"/>
      <c r="Z28" s="153"/>
      <c r="AA28" s="153"/>
    </row>
    <row r="29" spans="1:27" ht="12.75">
      <c r="A29" s="99"/>
      <c r="B29" s="159"/>
      <c r="C29" s="159"/>
      <c r="D29" s="159"/>
      <c r="E29" s="159"/>
      <c r="F29" s="163"/>
      <c r="G29" s="163"/>
      <c r="H29" s="163"/>
      <c r="I29" s="163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99"/>
      <c r="V29" s="99"/>
      <c r="X29" s="153"/>
      <c r="Y29" s="153"/>
      <c r="Z29" s="153"/>
      <c r="AA29" s="153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X30" s="153"/>
      <c r="Y30" s="153"/>
      <c r="Z30" s="153"/>
      <c r="AA30" s="153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'[3]реквизиты'!$G$7</f>
        <v>Н.Н.Малышев</v>
      </c>
      <c r="O31" s="6"/>
      <c r="P31" s="3"/>
      <c r="Q31" s="3"/>
      <c r="R31" s="5" t="str">
        <f>'[3]реквизиты'!$G$8</f>
        <v>/г.Дубна/</v>
      </c>
      <c r="X31" s="153"/>
      <c r="Y31" s="153"/>
      <c r="Z31" s="153"/>
      <c r="AA31" s="153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  <c r="X32" s="153"/>
      <c r="Y32" s="153"/>
      <c r="Z32" s="153"/>
      <c r="AA32" s="153"/>
    </row>
    <row r="33" spans="2:27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  <c r="X33" s="153"/>
      <c r="Y33" s="153"/>
      <c r="Z33" s="153"/>
      <c r="AA33" s="153"/>
    </row>
    <row r="34" spans="2:27" ht="15">
      <c r="B34" s="53" t="str">
        <f>'[1]реквизиты'!$A$8</f>
        <v>Гл. секретарь, судья ВК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'[3]реквизиты'!$G$9</f>
        <v>Д.П.Сапунов</v>
      </c>
      <c r="O34" s="6"/>
      <c r="P34" s="14"/>
      <c r="Q34" s="14"/>
      <c r="R34" s="5" t="str">
        <f>'[3]реквизиты'!$G$10</f>
        <v>/г.Качканар/</v>
      </c>
      <c r="X34" s="153"/>
      <c r="Y34" s="153"/>
      <c r="Z34" s="153"/>
      <c r="AA34" s="153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57"/>
      <c r="Y35" s="157"/>
      <c r="Z35" s="157"/>
      <c r="AA35" s="157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57"/>
      <c r="Y36" s="157"/>
      <c r="Z36" s="157"/>
      <c r="AA36" s="157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365" t="s">
        <v>35</v>
      </c>
      <c r="C1" s="365"/>
      <c r="D1" s="365"/>
      <c r="E1" s="365"/>
      <c r="F1" s="365"/>
      <c r="G1" s="365"/>
      <c r="H1" s="365"/>
      <c r="I1" s="365"/>
      <c r="J1" s="365"/>
      <c r="L1" s="365" t="s">
        <v>35</v>
      </c>
      <c r="M1" s="365"/>
      <c r="N1" s="365"/>
      <c r="O1" s="365"/>
      <c r="P1" s="365"/>
      <c r="Q1" s="365"/>
      <c r="R1" s="365"/>
      <c r="S1" s="365"/>
      <c r="T1" s="365"/>
    </row>
    <row r="2" spans="2:20" ht="15.75" customHeight="1">
      <c r="B2" s="366" t="str">
        <f>'пр.взв.'!D4</f>
        <v>в.к. 48 кг</v>
      </c>
      <c r="C2" s="367"/>
      <c r="D2" s="367"/>
      <c r="E2" s="367"/>
      <c r="F2" s="367"/>
      <c r="G2" s="367"/>
      <c r="H2" s="367"/>
      <c r="I2" s="367"/>
      <c r="J2" s="367"/>
      <c r="L2" s="366" t="str">
        <f>'пр.взв.'!D4</f>
        <v>в.к. 48 кг</v>
      </c>
      <c r="M2" s="367"/>
      <c r="N2" s="367"/>
      <c r="O2" s="367"/>
      <c r="P2" s="367"/>
      <c r="Q2" s="367"/>
      <c r="R2" s="367"/>
      <c r="S2" s="367"/>
      <c r="T2" s="367"/>
    </row>
    <row r="3" spans="2:20" ht="15.75" thickBot="1">
      <c r="B3" s="63" t="s">
        <v>31</v>
      </c>
      <c r="C3" s="65" t="s">
        <v>36</v>
      </c>
      <c r="D3" s="64" t="s">
        <v>34</v>
      </c>
      <c r="E3" s="64"/>
      <c r="F3" s="65"/>
      <c r="G3" s="63"/>
      <c r="H3" s="65"/>
      <c r="I3" s="65"/>
      <c r="J3" s="65"/>
      <c r="L3" s="63" t="s">
        <v>1</v>
      </c>
      <c r="M3" s="65" t="s">
        <v>36</v>
      </c>
      <c r="N3" s="64" t="s">
        <v>34</v>
      </c>
      <c r="O3" s="64"/>
      <c r="P3" s="65"/>
      <c r="Q3" s="63"/>
      <c r="R3" s="65"/>
      <c r="S3" s="65"/>
      <c r="T3" s="65"/>
    </row>
    <row r="4" spans="1:20" ht="12.75" customHeight="1">
      <c r="A4" s="348" t="s">
        <v>41</v>
      </c>
      <c r="B4" s="350" t="s">
        <v>5</v>
      </c>
      <c r="C4" s="344" t="s">
        <v>6</v>
      </c>
      <c r="D4" s="313" t="s">
        <v>14</v>
      </c>
      <c r="E4" s="308" t="s">
        <v>15</v>
      </c>
      <c r="F4" s="309"/>
      <c r="G4" s="344" t="s">
        <v>16</v>
      </c>
      <c r="H4" s="346" t="s">
        <v>37</v>
      </c>
      <c r="I4" s="338" t="s">
        <v>17</v>
      </c>
      <c r="J4" s="339" t="s">
        <v>18</v>
      </c>
      <c r="K4" s="348" t="s">
        <v>41</v>
      </c>
      <c r="L4" s="350" t="s">
        <v>5</v>
      </c>
      <c r="M4" s="344" t="s">
        <v>6</v>
      </c>
      <c r="N4" s="313" t="s">
        <v>14</v>
      </c>
      <c r="O4" s="308" t="s">
        <v>15</v>
      </c>
      <c r="P4" s="309"/>
      <c r="Q4" s="344" t="s">
        <v>16</v>
      </c>
      <c r="R4" s="346" t="s">
        <v>37</v>
      </c>
      <c r="S4" s="338" t="s">
        <v>17</v>
      </c>
      <c r="T4" s="339" t="s">
        <v>18</v>
      </c>
    </row>
    <row r="5" spans="1:20" ht="13.5" customHeight="1" thickBot="1">
      <c r="A5" s="349"/>
      <c r="B5" s="351" t="s">
        <v>32</v>
      </c>
      <c r="C5" s="345"/>
      <c r="D5" s="314"/>
      <c r="E5" s="310"/>
      <c r="F5" s="311"/>
      <c r="G5" s="345"/>
      <c r="H5" s="347"/>
      <c r="I5" s="315"/>
      <c r="J5" s="340" t="s">
        <v>33</v>
      </c>
      <c r="K5" s="349"/>
      <c r="L5" s="351" t="s">
        <v>32</v>
      </c>
      <c r="M5" s="345"/>
      <c r="N5" s="314"/>
      <c r="O5" s="310"/>
      <c r="P5" s="311"/>
      <c r="Q5" s="345"/>
      <c r="R5" s="347"/>
      <c r="S5" s="315"/>
      <c r="T5" s="340" t="s">
        <v>33</v>
      </c>
    </row>
    <row r="6" spans="1:20" ht="12.75">
      <c r="A6" s="361">
        <v>1</v>
      </c>
      <c r="B6" s="360">
        <v>1</v>
      </c>
      <c r="C6" s="341" t="str">
        <f>VLOOKUP(B6,'пр.взв.'!B7:F70,2,FALSE)</f>
        <v>ГАДЖИВЕРДИЕВ Эльвин Габил оглы</v>
      </c>
      <c r="D6" s="343" t="str">
        <f>VLOOKUP(B6,'пр.взв.'!B7:G126,3,FALSE)</f>
        <v>05.03.97 1р</v>
      </c>
      <c r="E6" s="304" t="str">
        <f>VLOOKUP(C6,'пр.взв.'!C7:H126,3,FALSE)</f>
        <v>Москва</v>
      </c>
      <c r="F6" s="343" t="str">
        <f>VLOOKUP(B6,'пр.взв.'!B7:H126,5,FALSE)</f>
        <v>МГФСО</v>
      </c>
      <c r="G6" s="326"/>
      <c r="H6" s="328"/>
      <c r="I6" s="318"/>
      <c r="J6" s="313"/>
      <c r="K6" s="329">
        <v>3</v>
      </c>
      <c r="L6" s="360">
        <v>2</v>
      </c>
      <c r="M6" s="334" t="e">
        <f>VLOOKUP(L6,'пр.взв.'!B7:F70,2,FALSE)</f>
        <v>#N/A</v>
      </c>
      <c r="N6" s="304" t="e">
        <f>VLOOKUP(L6,'пр.взв.'!B7:G126,3,FALSE)</f>
        <v>#N/A</v>
      </c>
      <c r="O6" s="304" t="e">
        <f>VLOOKUP(M6,'пр.взв.'!C7:H126,3,FALSE)</f>
        <v>#N/A</v>
      </c>
      <c r="P6" s="304" t="e">
        <f>VLOOKUP(L6,'пр.взв.'!B7:H126,5,FALSE)</f>
        <v>#N/A</v>
      </c>
      <c r="Q6" s="326"/>
      <c r="R6" s="328"/>
      <c r="S6" s="318"/>
      <c r="T6" s="313"/>
    </row>
    <row r="7" spans="1:20" ht="12.75">
      <c r="A7" s="362"/>
      <c r="B7" s="358"/>
      <c r="C7" s="342"/>
      <c r="D7" s="327"/>
      <c r="E7" s="305"/>
      <c r="F7" s="327"/>
      <c r="G7" s="327"/>
      <c r="H7" s="327"/>
      <c r="I7" s="319"/>
      <c r="J7" s="211"/>
      <c r="K7" s="330"/>
      <c r="L7" s="358"/>
      <c r="M7" s="335"/>
      <c r="N7" s="305"/>
      <c r="O7" s="305"/>
      <c r="P7" s="305"/>
      <c r="Q7" s="327"/>
      <c r="R7" s="327"/>
      <c r="S7" s="319"/>
      <c r="T7" s="211"/>
    </row>
    <row r="8" spans="1:20" ht="12.75">
      <c r="A8" s="362"/>
      <c r="B8" s="358">
        <v>5</v>
      </c>
      <c r="C8" s="322" t="e">
        <f>VLOOKUP(B8,'пр.взв.'!B7:F70,2,FALSE)</f>
        <v>#N/A</v>
      </c>
      <c r="D8" s="324" t="e">
        <f>VLOOKUP(B8,'пр.взв.'!B7:G128,3,FALSE)</f>
        <v>#N/A</v>
      </c>
      <c r="E8" s="306" t="e">
        <f>VLOOKUP(C8,'пр.взв.'!C7:H128,3,FALSE)</f>
        <v>#N/A</v>
      </c>
      <c r="F8" s="305" t="e">
        <f>VLOOKUP(B8,'пр.взв.'!B9:H128,5,FALSE)</f>
        <v>#N/A</v>
      </c>
      <c r="G8" s="316"/>
      <c r="H8" s="316"/>
      <c r="I8" s="209"/>
      <c r="J8" s="209"/>
      <c r="K8" s="330"/>
      <c r="L8" s="358">
        <v>6</v>
      </c>
      <c r="M8" s="336" t="e">
        <f>VLOOKUP(L8,'пр.взв.'!B7:F70,2,FALSE)</f>
        <v>#N/A</v>
      </c>
      <c r="N8" s="306" t="e">
        <f>VLOOKUP(L8,'пр.взв.'!B7:G128,3,FALSE)</f>
        <v>#N/A</v>
      </c>
      <c r="O8" s="306" t="e">
        <f>VLOOKUP(M8,'пр.взв.'!C7:H128,3,FALSE)</f>
        <v>#N/A</v>
      </c>
      <c r="P8" s="312" t="e">
        <f>VLOOKUP(L8,'пр.взв.'!B9:H128,5,FALSE)</f>
        <v>#N/A</v>
      </c>
      <c r="Q8" s="316"/>
      <c r="R8" s="316"/>
      <c r="S8" s="209"/>
      <c r="T8" s="209"/>
    </row>
    <row r="9" spans="1:20" ht="13.5" thickBot="1">
      <c r="A9" s="364"/>
      <c r="B9" s="359"/>
      <c r="C9" s="323"/>
      <c r="D9" s="325"/>
      <c r="E9" s="307"/>
      <c r="F9" s="327"/>
      <c r="G9" s="317"/>
      <c r="H9" s="317"/>
      <c r="I9" s="315"/>
      <c r="J9" s="315"/>
      <c r="K9" s="331"/>
      <c r="L9" s="359"/>
      <c r="M9" s="337"/>
      <c r="N9" s="307"/>
      <c r="O9" s="307"/>
      <c r="P9" s="305"/>
      <c r="Q9" s="317"/>
      <c r="R9" s="317"/>
      <c r="S9" s="315"/>
      <c r="T9" s="315"/>
    </row>
    <row r="10" spans="1:20" ht="12.75">
      <c r="A10" s="361">
        <v>2</v>
      </c>
      <c r="B10" s="360">
        <v>3</v>
      </c>
      <c r="C10" s="341" t="e">
        <f>VLOOKUP(B10,'пр.взв.'!B7:F70,2,FALSE)</f>
        <v>#N/A</v>
      </c>
      <c r="D10" s="305" t="e">
        <f>VLOOKUP(B10,'пр.взв.'!B7:G130,3,FALSE)</f>
        <v>#N/A</v>
      </c>
      <c r="E10" s="312" t="e">
        <f>VLOOKUP(C10,'пр.взв.'!C7:H130,3,FALSE)</f>
        <v>#N/A</v>
      </c>
      <c r="F10" s="343" t="e">
        <f>VLOOKUP(B10,'пр.взв.'!B11:H130,5,FALSE)</f>
        <v>#N/A</v>
      </c>
      <c r="G10" s="326"/>
      <c r="H10" s="328"/>
      <c r="I10" s="318"/>
      <c r="J10" s="343"/>
      <c r="K10" s="329">
        <v>4</v>
      </c>
      <c r="L10" s="360">
        <v>4</v>
      </c>
      <c r="M10" s="334" t="e">
        <f>VLOOKUP(L10,'пр.взв.'!B7:F70,2,FALSE)</f>
        <v>#N/A</v>
      </c>
      <c r="N10" s="304" t="e">
        <f>VLOOKUP(L10,'пр.взв.'!B7:G130,3,FALSE)</f>
        <v>#N/A</v>
      </c>
      <c r="O10" s="304" t="e">
        <f>VLOOKUP(M10,'пр.взв.'!C7:H130,3,FALSE)</f>
        <v>#N/A</v>
      </c>
      <c r="P10" s="304" t="e">
        <f>VLOOKUP(L10,'пр.взв.'!B11:H130,5,FALSE)</f>
        <v>#N/A</v>
      </c>
      <c r="Q10" s="326"/>
      <c r="R10" s="328"/>
      <c r="S10" s="318"/>
      <c r="T10" s="343"/>
    </row>
    <row r="11" spans="1:20" ht="12.75">
      <c r="A11" s="362"/>
      <c r="B11" s="358"/>
      <c r="C11" s="342"/>
      <c r="D11" s="327"/>
      <c r="E11" s="305"/>
      <c r="F11" s="327"/>
      <c r="G11" s="327"/>
      <c r="H11" s="327"/>
      <c r="I11" s="319"/>
      <c r="J11" s="211"/>
      <c r="K11" s="330"/>
      <c r="L11" s="358"/>
      <c r="M11" s="335"/>
      <c r="N11" s="305"/>
      <c r="O11" s="305"/>
      <c r="P11" s="305"/>
      <c r="Q11" s="327"/>
      <c r="R11" s="327"/>
      <c r="S11" s="319"/>
      <c r="T11" s="211"/>
    </row>
    <row r="12" spans="1:20" ht="12.75">
      <c r="A12" s="362"/>
      <c r="B12" s="358">
        <v>7</v>
      </c>
      <c r="C12" s="322" t="e">
        <f>VLOOKUP(B12,'пр.взв.'!B7:F70,2,FALSE)</f>
        <v>#N/A</v>
      </c>
      <c r="D12" s="324" t="e">
        <f>VLOOKUP(B12,'пр.взв.'!B7:G132,3,FALSE)</f>
        <v>#N/A</v>
      </c>
      <c r="E12" s="306" t="e">
        <f>VLOOKUP(C12,'пр.взв.'!C7:H132,3,FALSE)</f>
        <v>#N/A</v>
      </c>
      <c r="F12" s="324" t="e">
        <f>VLOOKUP(B12,'пр.взв.'!B13:H132,5,FALSE)</f>
        <v>#N/A</v>
      </c>
      <c r="G12" s="316"/>
      <c r="H12" s="316"/>
      <c r="I12" s="209"/>
      <c r="J12" s="209"/>
      <c r="K12" s="330"/>
      <c r="L12" s="358">
        <v>8</v>
      </c>
      <c r="M12" s="336" t="e">
        <f>VLOOKUP(L12,'пр.взв.'!B7:F70,2,FALSE)</f>
        <v>#N/A</v>
      </c>
      <c r="N12" s="306" t="e">
        <f>VLOOKUP(L12,'пр.взв.'!B7:G132,3,FALSE)</f>
        <v>#N/A</v>
      </c>
      <c r="O12" s="306" t="e">
        <f>VLOOKUP(M12,'пр.взв.'!C7:H132,3,FALSE)</f>
        <v>#N/A</v>
      </c>
      <c r="P12" s="312" t="e">
        <f>VLOOKUP(L12,'пр.взв.'!B13:H132,5,FALSE)</f>
        <v>#N/A</v>
      </c>
      <c r="Q12" s="316"/>
      <c r="R12" s="316"/>
      <c r="S12" s="209"/>
      <c r="T12" s="209"/>
    </row>
    <row r="13" spans="1:20" ht="13.5" thickBot="1">
      <c r="A13" s="363"/>
      <c r="B13" s="359"/>
      <c r="C13" s="323"/>
      <c r="D13" s="325"/>
      <c r="E13" s="307"/>
      <c r="F13" s="325"/>
      <c r="G13" s="317"/>
      <c r="H13" s="317"/>
      <c r="I13" s="315"/>
      <c r="J13" s="315"/>
      <c r="K13" s="331"/>
      <c r="L13" s="359"/>
      <c r="M13" s="337"/>
      <c r="N13" s="307"/>
      <c r="O13" s="307"/>
      <c r="P13" s="307"/>
      <c r="Q13" s="317"/>
      <c r="R13" s="317"/>
      <c r="S13" s="315"/>
      <c r="T13" s="315"/>
    </row>
    <row r="15" spans="2:20" ht="15.75" thickBot="1">
      <c r="B15" s="63" t="s">
        <v>31</v>
      </c>
      <c r="C15" s="82" t="s">
        <v>38</v>
      </c>
      <c r="D15" s="67"/>
      <c r="E15" s="67"/>
      <c r="F15" s="67"/>
      <c r="G15" s="68" t="str">
        <f>'пр.взв.'!D4</f>
        <v>в.к. 48 кг</v>
      </c>
      <c r="H15" s="67"/>
      <c r="I15" s="67"/>
      <c r="J15" s="67"/>
      <c r="K15" s="66"/>
      <c r="L15" s="63" t="s">
        <v>1</v>
      </c>
      <c r="M15" s="82" t="s">
        <v>38</v>
      </c>
      <c r="N15" s="67"/>
      <c r="O15" s="67"/>
      <c r="P15" s="67"/>
      <c r="Q15" s="68" t="str">
        <f>'пр.взв.'!D4</f>
        <v>в.к. 48 кг</v>
      </c>
      <c r="R15" s="67"/>
      <c r="S15" s="67"/>
      <c r="T15" s="67"/>
    </row>
    <row r="16" spans="1:20" ht="12.75" customHeight="1">
      <c r="A16" s="348" t="s">
        <v>41</v>
      </c>
      <c r="B16" s="350" t="s">
        <v>5</v>
      </c>
      <c r="C16" s="344" t="s">
        <v>6</v>
      </c>
      <c r="D16" s="313" t="s">
        <v>14</v>
      </c>
      <c r="E16" s="308" t="s">
        <v>15</v>
      </c>
      <c r="F16" s="309"/>
      <c r="G16" s="344" t="s">
        <v>16</v>
      </c>
      <c r="H16" s="346" t="s">
        <v>37</v>
      </c>
      <c r="I16" s="338" t="s">
        <v>17</v>
      </c>
      <c r="J16" s="339" t="s">
        <v>18</v>
      </c>
      <c r="K16" s="348" t="s">
        <v>41</v>
      </c>
      <c r="L16" s="350" t="s">
        <v>5</v>
      </c>
      <c r="M16" s="344" t="s">
        <v>6</v>
      </c>
      <c r="N16" s="313" t="s">
        <v>14</v>
      </c>
      <c r="O16" s="308" t="s">
        <v>15</v>
      </c>
      <c r="P16" s="309"/>
      <c r="Q16" s="344" t="s">
        <v>16</v>
      </c>
      <c r="R16" s="346" t="s">
        <v>37</v>
      </c>
      <c r="S16" s="338" t="s">
        <v>17</v>
      </c>
      <c r="T16" s="339" t="s">
        <v>18</v>
      </c>
    </row>
    <row r="17" spans="1:20" ht="13.5" customHeight="1" thickBot="1">
      <c r="A17" s="349"/>
      <c r="B17" s="351" t="s">
        <v>32</v>
      </c>
      <c r="C17" s="345"/>
      <c r="D17" s="314"/>
      <c r="E17" s="310"/>
      <c r="F17" s="311"/>
      <c r="G17" s="345"/>
      <c r="H17" s="347"/>
      <c r="I17" s="315"/>
      <c r="J17" s="340" t="s">
        <v>33</v>
      </c>
      <c r="K17" s="349"/>
      <c r="L17" s="351" t="s">
        <v>32</v>
      </c>
      <c r="M17" s="345"/>
      <c r="N17" s="314"/>
      <c r="O17" s="310"/>
      <c r="P17" s="311"/>
      <c r="Q17" s="345"/>
      <c r="R17" s="347"/>
      <c r="S17" s="315"/>
      <c r="T17" s="340" t="s">
        <v>33</v>
      </c>
    </row>
    <row r="18" spans="1:20" ht="12.75">
      <c r="A18" s="354">
        <v>1</v>
      </c>
      <c r="B18" s="357">
        <f>'пр.хода'!E9</f>
        <v>0</v>
      </c>
      <c r="C18" s="341" t="e">
        <f>VLOOKUP(B18,'пр.взв.'!B1:F82,2,FALSE)</f>
        <v>#N/A</v>
      </c>
      <c r="D18" s="343" t="e">
        <f>VLOOKUP(B18,'пр.взв.'!B1:G138,3,FALSE)</f>
        <v>#N/A</v>
      </c>
      <c r="E18" s="304" t="e">
        <f>VLOOKUP(C18,'пр.взв.'!C1:H138,3,FALSE)</f>
        <v>#N/A</v>
      </c>
      <c r="F18" s="343" t="e">
        <f>VLOOKUP(B18,'пр.взв.'!B1:H138,5,FALSE)</f>
        <v>#N/A</v>
      </c>
      <c r="G18" s="326"/>
      <c r="H18" s="328"/>
      <c r="I18" s="318"/>
      <c r="J18" s="313"/>
      <c r="K18" s="354">
        <v>2</v>
      </c>
      <c r="L18" s="357">
        <f>'пр.хода'!Q9</f>
        <v>0</v>
      </c>
      <c r="M18" s="334" t="e">
        <f>VLOOKUP(L18,'пр.взв.'!B1:F78,2,FALSE)</f>
        <v>#N/A</v>
      </c>
      <c r="N18" s="304" t="e">
        <f>VLOOKUP(L18,'пр.взв.'!B1:G138,3,FALSE)</f>
        <v>#N/A</v>
      </c>
      <c r="O18" s="304" t="e">
        <f>VLOOKUP(M18,'пр.взв.'!C1:H138,3,FALSE)</f>
        <v>#N/A</v>
      </c>
      <c r="P18" s="304" t="e">
        <f>VLOOKUP(L18,'пр.взв.'!B1:H138,5,FALSE)</f>
        <v>#N/A</v>
      </c>
      <c r="Q18" s="326"/>
      <c r="R18" s="328"/>
      <c r="S18" s="318"/>
      <c r="T18" s="313"/>
    </row>
    <row r="19" spans="1:20" ht="12.75">
      <c r="A19" s="355"/>
      <c r="B19" s="333"/>
      <c r="C19" s="342"/>
      <c r="D19" s="327"/>
      <c r="E19" s="305"/>
      <c r="F19" s="327"/>
      <c r="G19" s="327"/>
      <c r="H19" s="327"/>
      <c r="I19" s="319"/>
      <c r="J19" s="211"/>
      <c r="K19" s="355"/>
      <c r="L19" s="333"/>
      <c r="M19" s="335"/>
      <c r="N19" s="305"/>
      <c r="O19" s="305"/>
      <c r="P19" s="305"/>
      <c r="Q19" s="327"/>
      <c r="R19" s="327"/>
      <c r="S19" s="319"/>
      <c r="T19" s="211"/>
    </row>
    <row r="20" spans="1:20" ht="12.75">
      <c r="A20" s="355"/>
      <c r="B20" s="353">
        <f>'пр.хода'!E13</f>
        <v>0</v>
      </c>
      <c r="C20" s="322" t="e">
        <f>VLOOKUP(B20,'пр.взв.'!B1:F82,2,FALSE)</f>
        <v>#N/A</v>
      </c>
      <c r="D20" s="324" t="e">
        <f>VLOOKUP(B20,'пр.взв.'!B1:G140,3,FALSE)</f>
        <v>#N/A</v>
      </c>
      <c r="E20" s="306" t="e">
        <f>VLOOKUP(C20,'пр.взв.'!C1:H140,3,FALSE)</f>
        <v>#N/A</v>
      </c>
      <c r="F20" s="324" t="e">
        <f>VLOOKUP(B20,'пр.взв.'!B1:H140,5,FALSE)</f>
        <v>#N/A</v>
      </c>
      <c r="G20" s="316"/>
      <c r="H20" s="316"/>
      <c r="I20" s="209"/>
      <c r="J20" s="209"/>
      <c r="K20" s="355"/>
      <c r="L20" s="353">
        <f>'пр.хода'!Q13</f>
        <v>0</v>
      </c>
      <c r="M20" s="336" t="e">
        <f>VLOOKUP(L20,'пр.взв.'!B1:F78,2,FALSE)</f>
        <v>#N/A</v>
      </c>
      <c r="N20" s="306" t="e">
        <f>VLOOKUP(L20,'пр.взв.'!B1:G140,3,FALSE)</f>
        <v>#N/A</v>
      </c>
      <c r="O20" s="306" t="e">
        <f>VLOOKUP(M20,'пр.взв.'!C1:H140,3,FALSE)</f>
        <v>#N/A</v>
      </c>
      <c r="P20" s="306" t="e">
        <f>VLOOKUP(L20,'пр.взв.'!B1:H140,5,FALSE)</f>
        <v>#N/A</v>
      </c>
      <c r="Q20" s="316"/>
      <c r="R20" s="316"/>
      <c r="S20" s="209"/>
      <c r="T20" s="209"/>
    </row>
    <row r="21" spans="1:20" ht="13.5" thickBot="1">
      <c r="A21" s="356"/>
      <c r="B21" s="321"/>
      <c r="C21" s="323"/>
      <c r="D21" s="325"/>
      <c r="E21" s="307"/>
      <c r="F21" s="325"/>
      <c r="G21" s="317"/>
      <c r="H21" s="317"/>
      <c r="I21" s="315"/>
      <c r="J21" s="315"/>
      <c r="K21" s="356"/>
      <c r="L21" s="321"/>
      <c r="M21" s="337"/>
      <c r="N21" s="307"/>
      <c r="O21" s="307"/>
      <c r="P21" s="307"/>
      <c r="Q21" s="317"/>
      <c r="R21" s="317"/>
      <c r="S21" s="315"/>
      <c r="T21" s="315"/>
    </row>
    <row r="23" spans="1:20" ht="15">
      <c r="A23" s="352" t="s">
        <v>39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 t="s">
        <v>40</v>
      </c>
      <c r="L23" s="352"/>
      <c r="M23" s="352"/>
      <c r="N23" s="352"/>
      <c r="O23" s="352"/>
      <c r="P23" s="352"/>
      <c r="Q23" s="352"/>
      <c r="R23" s="352"/>
      <c r="S23" s="352"/>
      <c r="T23" s="352"/>
    </row>
    <row r="24" spans="2:20" ht="15.75" thickBot="1">
      <c r="B24" s="63" t="s">
        <v>31</v>
      </c>
      <c r="C24" s="69"/>
      <c r="D24" s="69"/>
      <c r="E24" s="69"/>
      <c r="F24" s="69"/>
      <c r="G24" s="69" t="str">
        <f>'пр.взв.'!D4</f>
        <v>в.к. 48 кг</v>
      </c>
      <c r="H24" s="69"/>
      <c r="I24" s="69"/>
      <c r="J24" s="69"/>
      <c r="K24" s="70"/>
      <c r="L24" s="71" t="s">
        <v>1</v>
      </c>
      <c r="M24" s="69"/>
      <c r="N24" s="69"/>
      <c r="O24" s="69"/>
      <c r="P24" s="69"/>
      <c r="Q24" s="69" t="str">
        <f>'пр.взв.'!D4</f>
        <v>в.к. 48 кг</v>
      </c>
      <c r="R24" s="66"/>
      <c r="S24" s="66"/>
      <c r="T24" s="66"/>
    </row>
    <row r="25" spans="1:20" ht="12.75" customHeight="1">
      <c r="A25" s="348" t="s">
        <v>41</v>
      </c>
      <c r="B25" s="350" t="s">
        <v>5</v>
      </c>
      <c r="C25" s="344" t="s">
        <v>6</v>
      </c>
      <c r="D25" s="313" t="s">
        <v>14</v>
      </c>
      <c r="E25" s="308" t="s">
        <v>15</v>
      </c>
      <c r="F25" s="309"/>
      <c r="G25" s="344" t="s">
        <v>16</v>
      </c>
      <c r="H25" s="346" t="s">
        <v>37</v>
      </c>
      <c r="I25" s="338" t="s">
        <v>17</v>
      </c>
      <c r="J25" s="339" t="s">
        <v>18</v>
      </c>
      <c r="K25" s="348" t="s">
        <v>41</v>
      </c>
      <c r="L25" s="350" t="s">
        <v>5</v>
      </c>
      <c r="M25" s="344" t="s">
        <v>6</v>
      </c>
      <c r="N25" s="313" t="s">
        <v>14</v>
      </c>
      <c r="O25" s="308" t="s">
        <v>15</v>
      </c>
      <c r="P25" s="309"/>
      <c r="Q25" s="344" t="s">
        <v>16</v>
      </c>
      <c r="R25" s="346" t="s">
        <v>37</v>
      </c>
      <c r="S25" s="338" t="s">
        <v>17</v>
      </c>
      <c r="T25" s="339" t="s">
        <v>18</v>
      </c>
    </row>
    <row r="26" spans="1:20" ht="13.5" customHeight="1" thickBot="1">
      <c r="A26" s="349"/>
      <c r="B26" s="351" t="s">
        <v>32</v>
      </c>
      <c r="C26" s="345"/>
      <c r="D26" s="314"/>
      <c r="E26" s="310"/>
      <c r="F26" s="311"/>
      <c r="G26" s="345"/>
      <c r="H26" s="347"/>
      <c r="I26" s="315"/>
      <c r="J26" s="340" t="s">
        <v>33</v>
      </c>
      <c r="K26" s="349"/>
      <c r="L26" s="351" t="s">
        <v>32</v>
      </c>
      <c r="M26" s="345"/>
      <c r="N26" s="314"/>
      <c r="O26" s="310"/>
      <c r="P26" s="311"/>
      <c r="Q26" s="345"/>
      <c r="R26" s="347"/>
      <c r="S26" s="315"/>
      <c r="T26" s="340" t="s">
        <v>33</v>
      </c>
    </row>
    <row r="27" spans="1:20" ht="12.75">
      <c r="A27" s="329">
        <v>1</v>
      </c>
      <c r="B27" s="332" t="str">
        <f>'пр.хода'!A21</f>
        <v> </v>
      </c>
      <c r="C27" s="341" t="e">
        <f>VLOOKUP(B27,'пр.взв.'!B2:F91,2,FALSE)</f>
        <v>#N/A</v>
      </c>
      <c r="D27" s="343" t="e">
        <f>VLOOKUP(B27,'пр.взв.'!B2:G147,3,FALSE)</f>
        <v>#N/A</v>
      </c>
      <c r="E27" s="304" t="e">
        <f>VLOOKUP(C27,'пр.взв.'!C2:H147,3,FALSE)</f>
        <v>#N/A</v>
      </c>
      <c r="F27" s="343" t="e">
        <f>VLOOKUP(B27,'пр.взв.'!B2:H147,5,FALSE)</f>
        <v>#N/A</v>
      </c>
      <c r="G27" s="326"/>
      <c r="H27" s="328"/>
      <c r="I27" s="318"/>
      <c r="J27" s="313"/>
      <c r="K27" s="329">
        <v>2</v>
      </c>
      <c r="L27" s="332" t="str">
        <f>'пр.хода'!U21</f>
        <v> </v>
      </c>
      <c r="M27" s="334" t="e">
        <f>VLOOKUP(L27,'пр.взв.'!B2:F91,2,FALSE)</f>
        <v>#N/A</v>
      </c>
      <c r="N27" s="304" t="e">
        <f>VLOOKUP(L27,'пр.взв.'!B2:G147,3,FALSE)</f>
        <v>#N/A</v>
      </c>
      <c r="O27" s="304" t="e">
        <f>VLOOKUP(M27,'пр.взв.'!C2:H147,3,FALSE)</f>
        <v>#N/A</v>
      </c>
      <c r="P27" s="304" t="e">
        <f>VLOOKUP(L27,'пр.взв.'!B2:H147,5,FALSE)</f>
        <v>#N/A</v>
      </c>
      <c r="Q27" s="326"/>
      <c r="R27" s="328"/>
      <c r="S27" s="318"/>
      <c r="T27" s="313"/>
    </row>
    <row r="28" spans="1:20" ht="12.75">
      <c r="A28" s="330"/>
      <c r="B28" s="333"/>
      <c r="C28" s="342"/>
      <c r="D28" s="327"/>
      <c r="E28" s="305"/>
      <c r="F28" s="327"/>
      <c r="G28" s="327"/>
      <c r="H28" s="327"/>
      <c r="I28" s="319"/>
      <c r="J28" s="211"/>
      <c r="K28" s="330"/>
      <c r="L28" s="333"/>
      <c r="M28" s="335"/>
      <c r="N28" s="305"/>
      <c r="O28" s="305"/>
      <c r="P28" s="305"/>
      <c r="Q28" s="327"/>
      <c r="R28" s="327"/>
      <c r="S28" s="319"/>
      <c r="T28" s="211"/>
    </row>
    <row r="29" spans="1:20" ht="12.75">
      <c r="A29" s="330"/>
      <c r="B29" s="320" t="str">
        <f>'пр.хода'!A23</f>
        <v> </v>
      </c>
      <c r="C29" s="322" t="e">
        <f>VLOOKUP(B29,'пр.взв.'!B2:F91,2,FALSE)</f>
        <v>#N/A</v>
      </c>
      <c r="D29" s="324" t="e">
        <f>VLOOKUP(B29,'пр.взв.'!B2:G149,3,FALSE)</f>
        <v>#N/A</v>
      </c>
      <c r="E29" s="306" t="e">
        <f>VLOOKUP(C29,'пр.взв.'!C2:H149,3,FALSE)</f>
        <v>#N/A</v>
      </c>
      <c r="F29" s="324" t="e">
        <f>VLOOKUP(B29,'пр.взв.'!B2:H149,5,FALSE)</f>
        <v>#N/A</v>
      </c>
      <c r="G29" s="316"/>
      <c r="H29" s="316"/>
      <c r="I29" s="209"/>
      <c r="J29" s="209"/>
      <c r="K29" s="330"/>
      <c r="L29" s="320" t="str">
        <f>'пр.хода'!U23</f>
        <v> </v>
      </c>
      <c r="M29" s="336" t="e">
        <f>VLOOKUP(L29,'пр.взв.'!B2:F91,2,FALSE)</f>
        <v>#N/A</v>
      </c>
      <c r="N29" s="306" t="e">
        <f>VLOOKUP(L29,'пр.взв.'!B2:G149,3,FALSE)</f>
        <v>#N/A</v>
      </c>
      <c r="O29" s="306" t="e">
        <f>VLOOKUP(M29,'пр.взв.'!C2:H149,3,FALSE)</f>
        <v>#N/A</v>
      </c>
      <c r="P29" s="306" t="e">
        <f>VLOOKUP(L29,'пр.взв.'!B2:H149,5,FALSE)</f>
        <v>#N/A</v>
      </c>
      <c r="Q29" s="316"/>
      <c r="R29" s="316"/>
      <c r="S29" s="209"/>
      <c r="T29" s="209"/>
    </row>
    <row r="30" spans="1:20" ht="13.5" thickBot="1">
      <c r="A30" s="331"/>
      <c r="B30" s="321"/>
      <c r="C30" s="323"/>
      <c r="D30" s="325"/>
      <c r="E30" s="307"/>
      <c r="F30" s="325"/>
      <c r="G30" s="317"/>
      <c r="H30" s="317"/>
      <c r="I30" s="315"/>
      <c r="J30" s="315"/>
      <c r="K30" s="331"/>
      <c r="L30" s="321"/>
      <c r="M30" s="337"/>
      <c r="N30" s="307"/>
      <c r="O30" s="307"/>
      <c r="P30" s="307"/>
      <c r="Q30" s="317"/>
      <c r="R30" s="317"/>
      <c r="S30" s="315"/>
      <c r="T30" s="315"/>
    </row>
  </sheetData>
  <sheetProtection/>
  <mergeCells count="212"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G16:G17"/>
    <mergeCell ref="H16:H17"/>
    <mergeCell ref="I16:I17"/>
    <mergeCell ref="A16:A17"/>
    <mergeCell ref="B16:B17"/>
    <mergeCell ref="C16:C17"/>
    <mergeCell ref="D16:D17"/>
    <mergeCell ref="Q16:Q17"/>
    <mergeCell ref="R16:R17"/>
    <mergeCell ref="J16:J17"/>
    <mergeCell ref="K16:K17"/>
    <mergeCell ref="L16:L17"/>
    <mergeCell ref="M16:M17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G25:G26"/>
    <mergeCell ref="H25:H26"/>
    <mergeCell ref="I25:I26"/>
    <mergeCell ref="A25:A26"/>
    <mergeCell ref="B25:B26"/>
    <mergeCell ref="C25:C26"/>
    <mergeCell ref="D25:D26"/>
    <mergeCell ref="N25:N26"/>
    <mergeCell ref="Q25:Q26"/>
    <mergeCell ref="R25:R26"/>
    <mergeCell ref="J25:J26"/>
    <mergeCell ref="K25:K26"/>
    <mergeCell ref="L25:L26"/>
    <mergeCell ref="M25:M26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S29:S30"/>
    <mergeCell ref="T29:T30"/>
    <mergeCell ref="N29:N30"/>
    <mergeCell ref="P29:P30"/>
    <mergeCell ref="Q29:Q30"/>
    <mergeCell ref="R29:R30"/>
    <mergeCell ref="O29:O30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zoomScalePageLayoutView="0" workbookViewId="0" topLeftCell="A1">
      <selection activeCell="A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75" t="s">
        <v>27</v>
      </c>
      <c r="B1" s="275"/>
      <c r="C1" s="275"/>
      <c r="D1" s="275"/>
      <c r="E1" s="275"/>
      <c r="F1" s="275"/>
      <c r="G1" s="275"/>
      <c r="H1" s="27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224" t="s">
        <v>24</v>
      </c>
      <c r="C2" s="224"/>
      <c r="D2" s="379" t="str">
        <f>HYPERLINK('[1]реквизиты'!$A$2)</f>
        <v>Первенство России по БОЕВОМУ САМБО среди юниоров 1996-1997г.р .</v>
      </c>
      <c r="E2" s="380"/>
      <c r="F2" s="380"/>
      <c r="G2" s="380"/>
      <c r="H2" s="381"/>
    </row>
    <row r="3" spans="2:8" ht="31.5" customHeight="1" thickBot="1">
      <c r="B3" s="382" t="str">
        <f>'пр.взв.'!A3</f>
        <v>12-15 октября 2016.                                                         г.Кстово</v>
      </c>
      <c r="C3" s="382"/>
      <c r="D3" s="382"/>
      <c r="E3" s="382"/>
      <c r="F3" s="382"/>
      <c r="G3" s="383" t="str">
        <f>'пр.взв.'!D4</f>
        <v>в.к. 48 кг</v>
      </c>
      <c r="H3" s="384"/>
    </row>
    <row r="4" spans="1:24" ht="12.75" customHeight="1" thickBot="1">
      <c r="A4" s="418" t="s">
        <v>11</v>
      </c>
      <c r="B4" s="420" t="s">
        <v>5</v>
      </c>
      <c r="C4" s="385" t="s">
        <v>6</v>
      </c>
      <c r="D4" s="309" t="s">
        <v>7</v>
      </c>
      <c r="E4" s="308" t="s">
        <v>8</v>
      </c>
      <c r="F4" s="309"/>
      <c r="G4" s="338" t="s">
        <v>10</v>
      </c>
      <c r="H4" s="415" t="s">
        <v>9</v>
      </c>
      <c r="J4" s="376" t="str">
        <f>MID(F6,FIND(,F6),3)</f>
        <v>МГФ</v>
      </c>
      <c r="K4" s="371">
        <v>1</v>
      </c>
      <c r="L4" s="377" t="s">
        <v>93</v>
      </c>
      <c r="M4" s="374" t="s">
        <v>78</v>
      </c>
      <c r="N4" s="368"/>
      <c r="O4" s="369"/>
      <c r="P4" s="369"/>
      <c r="Q4" s="370"/>
      <c r="S4" s="372" t="s">
        <v>93</v>
      </c>
      <c r="T4" s="374" t="s">
        <v>78</v>
      </c>
      <c r="U4" s="368"/>
      <c r="V4" s="369"/>
      <c r="W4" s="369"/>
      <c r="X4" s="370"/>
    </row>
    <row r="5" spans="1:24" ht="15.75" thickBot="1">
      <c r="A5" s="419"/>
      <c r="B5" s="421"/>
      <c r="C5" s="386"/>
      <c r="D5" s="311"/>
      <c r="E5" s="310"/>
      <c r="F5" s="311"/>
      <c r="G5" s="315"/>
      <c r="H5" s="416"/>
      <c r="J5" s="376"/>
      <c r="K5" s="371"/>
      <c r="L5" s="378"/>
      <c r="M5" s="375"/>
      <c r="N5" s="137">
        <v>1</v>
      </c>
      <c r="O5" s="138">
        <v>2</v>
      </c>
      <c r="P5" s="138">
        <v>3</v>
      </c>
      <c r="Q5" s="139">
        <v>5</v>
      </c>
      <c r="S5" s="373"/>
      <c r="T5" s="375"/>
      <c r="U5" s="137">
        <v>1</v>
      </c>
      <c r="V5" s="138">
        <v>2</v>
      </c>
      <c r="W5" s="138">
        <v>3</v>
      </c>
      <c r="X5" s="139">
        <v>5</v>
      </c>
    </row>
    <row r="6" spans="1:24" ht="12.75" customHeight="1">
      <c r="A6" s="408">
        <v>1</v>
      </c>
      <c r="B6" s="409">
        <f>'пр.хода'!H9</f>
        <v>1</v>
      </c>
      <c r="C6" s="410" t="str">
        <f>VLOOKUP(B6,'пр.взв.'!B7:H22,2,FALSE)</f>
        <v>ГАДЖИВЕРДИЕВ Эльвин Габил оглы</v>
      </c>
      <c r="D6" s="392" t="str">
        <f>VLOOKUP(B6,'пр.взв.'!B7:H22,3,FALSE)</f>
        <v>05.03.97 1р</v>
      </c>
      <c r="E6" s="392" t="str">
        <f>VLOOKUP(B6,'пр.взв.'!B7:H22,4,FALSE)</f>
        <v>Москва</v>
      </c>
      <c r="F6" s="411" t="str">
        <f>VLOOKUP(B6,'пр.взв.'!B7:H22,5,FALSE)</f>
        <v>МГФСО</v>
      </c>
      <c r="G6" s="412">
        <f>VLOOKUP(B6,'пр.взв.'!B3:H18,6,FALSE)</f>
        <v>0</v>
      </c>
      <c r="H6" s="417" t="str">
        <f>VLOOKUP(B6,'пр.взв.'!B7:H22,7,FALSE)</f>
        <v>Пучков СА</v>
      </c>
      <c r="J6" s="376" t="s">
        <v>94</v>
      </c>
      <c r="K6" s="371">
        <v>1</v>
      </c>
      <c r="L6" s="140">
        <v>1</v>
      </c>
      <c r="M6" s="113" t="s">
        <v>81</v>
      </c>
      <c r="N6" s="141">
        <f>SUMIF($J$4:$J$7,"Алт",$K$4:$K$7)</f>
        <v>0</v>
      </c>
      <c r="O6" s="141">
        <f>SUMIF($I$8:$J$9,"алт",$K$6:$K$9)</f>
        <v>0</v>
      </c>
      <c r="P6" s="142">
        <f>SUMIF($J$10:$J$13,"Алт",$K$10:$K$13)</f>
        <v>0</v>
      </c>
      <c r="Q6" s="142">
        <f>SUMIF($J$14:$J$17,"Алт",$K$14:$K$17)</f>
        <v>0</v>
      </c>
      <c r="S6" s="140">
        <v>1</v>
      </c>
      <c r="T6" s="113" t="str">
        <f>J4</f>
        <v>МГФ</v>
      </c>
      <c r="U6" s="141">
        <f aca="true" t="shared" si="0" ref="U6:U11">SUMIF($J$4:$J$7,T6,$K$4:$K$7)</f>
        <v>1</v>
      </c>
      <c r="V6" s="141">
        <f aca="true" t="shared" si="1" ref="V6:V11">SUMIF($I$8:$J$9,T6,$K$6:$K$9)</f>
        <v>0</v>
      </c>
      <c r="W6" s="142">
        <f aca="true" t="shared" si="2" ref="W6:W11">SUMIF($J$10:$J$13,T6,$K$10:$K$13)</f>
        <v>0</v>
      </c>
      <c r="X6" s="142">
        <f aca="true" t="shared" si="3" ref="X6:X11">SUMIF($J$14:$J$17,T6,$K$14:$K$17)</f>
        <v>0</v>
      </c>
    </row>
    <row r="7" spans="1:24" ht="15">
      <c r="A7" s="406"/>
      <c r="B7" s="407"/>
      <c r="C7" s="398"/>
      <c r="D7" s="393"/>
      <c r="E7" s="393"/>
      <c r="F7" s="232"/>
      <c r="G7" s="413"/>
      <c r="H7" s="388"/>
      <c r="J7" s="371"/>
      <c r="K7" s="371"/>
      <c r="L7" s="112">
        <v>2</v>
      </c>
      <c r="M7" s="113" t="s">
        <v>82</v>
      </c>
      <c r="N7" s="141">
        <f>SUMIF($J$4:$J$7,"заб",$K$4:$K$7)</f>
        <v>0</v>
      </c>
      <c r="O7" s="141">
        <f>SUMIF($I$8:$J$9,"заб",$K$6:$K$9)</f>
        <v>0</v>
      </c>
      <c r="P7" s="142">
        <f>SUMIF($J$10:$J$13,"заб",$K$10:$K$13)</f>
        <v>0</v>
      </c>
      <c r="Q7" s="142">
        <f>SUMIF($J$14:$J$17,"заб",$K$14:$K$17)</f>
        <v>0</v>
      </c>
      <c r="S7" s="112">
        <v>2</v>
      </c>
      <c r="T7" s="113" t="e">
        <f>IF(J8=J4," ",J8)</f>
        <v>#N/A</v>
      </c>
      <c r="U7" s="141">
        <f t="shared" si="0"/>
        <v>0</v>
      </c>
      <c r="V7" s="141">
        <f t="shared" si="1"/>
        <v>1</v>
      </c>
      <c r="W7" s="142">
        <f t="shared" si="2"/>
        <v>2</v>
      </c>
      <c r="X7" s="142">
        <f t="shared" si="3"/>
        <v>2</v>
      </c>
    </row>
    <row r="8" spans="1:24" ht="12.75" customHeight="1" hidden="1">
      <c r="A8" s="406">
        <v>2</v>
      </c>
      <c r="B8" s="407">
        <f>'пр.хода'!H14</f>
        <v>0</v>
      </c>
      <c r="C8" s="394" t="e">
        <f>VLOOKUP(B8,'пр.взв.'!B7:H22,2,FALSE)</f>
        <v>#N/A</v>
      </c>
      <c r="D8" s="396" t="e">
        <f>VLOOKUP(B8,'пр.взв.'!B7:H22,3,FALSE)</f>
        <v>#N/A</v>
      </c>
      <c r="E8" s="392" t="e">
        <f>VLOOKUP(B8,'пр.взв.'!B3:H24,4,FALSE)</f>
        <v>#N/A</v>
      </c>
      <c r="F8" s="232" t="e">
        <f>VLOOKUP(B8,'пр.взв.'!B7:H22,5,FALSE)</f>
        <v>#N/A</v>
      </c>
      <c r="G8" s="227" t="e">
        <f>VLOOKUP(B8,'пр.взв.'!B5:H20,6,FALSE)</f>
        <v>#N/A</v>
      </c>
      <c r="H8" s="387" t="e">
        <f>VLOOKUP(B8,'пр.взв.'!B7:H22,7,FALSE)</f>
        <v>#N/A</v>
      </c>
      <c r="J8" s="371" t="e">
        <f>MID(F8,FIND(,F8),3)</f>
        <v>#N/A</v>
      </c>
      <c r="K8" s="371">
        <v>1</v>
      </c>
      <c r="L8" s="107">
        <v>3</v>
      </c>
      <c r="M8" s="113" t="s">
        <v>83</v>
      </c>
      <c r="N8" s="141">
        <f>SUMIF($J$4:$J$7,"ирк",$K$4:$K$7)</f>
        <v>0</v>
      </c>
      <c r="O8" s="141">
        <f>SUMIF($I$8:$J$9,"ирк",$K$6:$K$9)</f>
        <v>0</v>
      </c>
      <c r="P8" s="142">
        <f>SUMIF($J$10:$J$13,"ирк",$K$10:$K$13)</f>
        <v>0</v>
      </c>
      <c r="Q8" s="142">
        <f>SUMIF($J$14:$J$17,"ирк",$K$14:$K$17)</f>
        <v>0</v>
      </c>
      <c r="S8" s="107">
        <v>3</v>
      </c>
      <c r="T8" s="113" t="e">
        <f>IF(OR(J10=J4,J10=J8)," ",J10)</f>
        <v>#N/A</v>
      </c>
      <c r="U8" s="141">
        <f t="shared" si="0"/>
        <v>0</v>
      </c>
      <c r="V8" s="141">
        <f t="shared" si="1"/>
        <v>1</v>
      </c>
      <c r="W8" s="142">
        <f t="shared" si="2"/>
        <v>2</v>
      </c>
      <c r="X8" s="142">
        <f t="shared" si="3"/>
        <v>2</v>
      </c>
    </row>
    <row r="9" spans="1:24" ht="15" hidden="1">
      <c r="A9" s="406"/>
      <c r="B9" s="407"/>
      <c r="C9" s="398"/>
      <c r="D9" s="393"/>
      <c r="E9" s="393"/>
      <c r="F9" s="232"/>
      <c r="G9" s="228"/>
      <c r="H9" s="388"/>
      <c r="J9" s="371"/>
      <c r="K9" s="371"/>
      <c r="L9" s="112">
        <v>4</v>
      </c>
      <c r="M9" s="113" t="s">
        <v>84</v>
      </c>
      <c r="N9" s="141">
        <f>SUMIF($J$4:$J$7,"кем",$K$4:$K$7)</f>
        <v>0</v>
      </c>
      <c r="O9" s="141">
        <f>SUMIF($I$8:$J$9,"кем",$K$6:$K$9)</f>
        <v>0</v>
      </c>
      <c r="P9" s="142">
        <f>SUMIF($J$10:$J$13,"кем",$K$10:$K$13)</f>
        <v>0</v>
      </c>
      <c r="Q9" s="142">
        <f>SUMIF($J$14:$J$17,"кем",$K$14:$K$17)</f>
        <v>0</v>
      </c>
      <c r="S9" s="112">
        <v>4</v>
      </c>
      <c r="T9" s="113" t="e">
        <f>IF(OR(J12=J4,J12=J8,J12=J10)," ",J12)</f>
        <v>#N/A</v>
      </c>
      <c r="U9" s="141">
        <f t="shared" si="0"/>
        <v>0</v>
      </c>
      <c r="V9" s="141">
        <f t="shared" si="1"/>
        <v>1</v>
      </c>
      <c r="W9" s="142">
        <f t="shared" si="2"/>
        <v>2</v>
      </c>
      <c r="X9" s="142">
        <f t="shared" si="3"/>
        <v>2</v>
      </c>
    </row>
    <row r="10" spans="1:24" ht="12.75" customHeight="1" hidden="1">
      <c r="A10" s="406">
        <v>3</v>
      </c>
      <c r="B10" s="407">
        <f>'пр.хода'!E25</f>
        <v>0</v>
      </c>
      <c r="C10" s="394" t="e">
        <f>VLOOKUP(B10,'пр.взв.'!B7:H22,2,FALSE)</f>
        <v>#N/A</v>
      </c>
      <c r="D10" s="396" t="e">
        <f>VLOOKUP(B10,'пр.взв.'!B7:H22,3,FALSE)</f>
        <v>#N/A</v>
      </c>
      <c r="E10" s="389" t="e">
        <f>VLOOKUP(B10,'пр.взв.'!B3:H26,4,FALSE)</f>
        <v>#N/A</v>
      </c>
      <c r="F10" s="232" t="e">
        <f>VLOOKUP(B10,'пр.взв.'!B7:H22,5,FALSE)</f>
        <v>#N/A</v>
      </c>
      <c r="G10" s="227" t="e">
        <f>VLOOKUP(B10,'пр.взв.'!B7:H22,6,FALSE)</f>
        <v>#N/A</v>
      </c>
      <c r="H10" s="387" t="e">
        <f>VLOOKUP(B10,'пр.взв.'!B7:H22,7,FALSE)</f>
        <v>#N/A</v>
      </c>
      <c r="J10" s="371" t="e">
        <f>MID(F10,FIND(,F10),3)</f>
        <v>#N/A</v>
      </c>
      <c r="K10" s="371">
        <v>1</v>
      </c>
      <c r="L10" s="107">
        <v>5</v>
      </c>
      <c r="M10" s="113" t="s">
        <v>85</v>
      </c>
      <c r="N10" s="141">
        <f>SUMIF($J$4:$J$7,"кра",$K$4:$K$7)</f>
        <v>0</v>
      </c>
      <c r="O10" s="141">
        <f>SUMIF($I$8:$J$9,"кра",$K$6:$K$9)</f>
        <v>0</v>
      </c>
      <c r="P10" s="142">
        <f>SUMIF($J$10:$J$13,"кра",$K$10:$K$13)</f>
        <v>0</v>
      </c>
      <c r="Q10" s="142">
        <f>SUMIF($J$14:$J$17,"кра",$K$14:$K$17)</f>
        <v>0</v>
      </c>
      <c r="S10" s="107">
        <v>5</v>
      </c>
      <c r="T10" s="113" t="e">
        <f>IF(OR(J14=J4,J14=J8,J14=J10,J14=J12)," ",J14)</f>
        <v>#N/A</v>
      </c>
      <c r="U10" s="141">
        <f t="shared" si="0"/>
        <v>0</v>
      </c>
      <c r="V10" s="141">
        <f t="shared" si="1"/>
        <v>1</v>
      </c>
      <c r="W10" s="142">
        <f t="shared" si="2"/>
        <v>2</v>
      </c>
      <c r="X10" s="142">
        <f t="shared" si="3"/>
        <v>2</v>
      </c>
    </row>
    <row r="11" spans="1:24" ht="15" hidden="1">
      <c r="A11" s="406"/>
      <c r="B11" s="407"/>
      <c r="C11" s="398"/>
      <c r="D11" s="393"/>
      <c r="E11" s="390"/>
      <c r="F11" s="232"/>
      <c r="G11" s="228"/>
      <c r="H11" s="388"/>
      <c r="J11" s="371"/>
      <c r="K11" s="371"/>
      <c r="L11" s="112">
        <v>6</v>
      </c>
      <c r="M11" s="113" t="s">
        <v>86</v>
      </c>
      <c r="N11" s="141">
        <f>SUMIF($J$4:$J$7,"нов",$K$4:$K$7)</f>
        <v>0</v>
      </c>
      <c r="O11" s="141">
        <f>SUMIF($I$8:$J$9,"нов",$K$6:$K$9)</f>
        <v>0</v>
      </c>
      <c r="P11" s="142">
        <f>SUMIF($J$10:$J$13,"нов",$K$10:$K$13)</f>
        <v>0</v>
      </c>
      <c r="Q11" s="142">
        <f>SUMIF($J$14:$J$17,"нов",$K$14:$K$17)</f>
        <v>0</v>
      </c>
      <c r="S11" s="112">
        <v>6</v>
      </c>
      <c r="T11" s="113" t="e">
        <f>IF(OR(J16=J4,J16=J8,J16=J10,J16=J12,J16=J14)," ",J16)</f>
        <v>#N/A</v>
      </c>
      <c r="U11" s="141">
        <f t="shared" si="0"/>
        <v>0</v>
      </c>
      <c r="V11" s="141">
        <f t="shared" si="1"/>
        <v>1</v>
      </c>
      <c r="W11" s="142">
        <f t="shared" si="2"/>
        <v>2</v>
      </c>
      <c r="X11" s="142">
        <f t="shared" si="3"/>
        <v>2</v>
      </c>
    </row>
    <row r="12" spans="1:24" ht="12.75" customHeight="1" hidden="1">
      <c r="A12" s="406">
        <v>3</v>
      </c>
      <c r="B12" s="400">
        <f>'пр.хода'!Q25</f>
        <v>0</v>
      </c>
      <c r="C12" s="394" t="e">
        <f>VLOOKUP(B12,'пр.взв.'!B7:H22,2,FALSE)</f>
        <v>#N/A</v>
      </c>
      <c r="D12" s="396" t="e">
        <f>VLOOKUP(B12,'пр.взв.'!B7:H22,3,FALSE)</f>
        <v>#N/A</v>
      </c>
      <c r="E12" s="389" t="e">
        <f>VLOOKUP(B12,'пр.взв.'!B1:H28,4,FALSE)</f>
        <v>#N/A</v>
      </c>
      <c r="F12" s="232" t="e">
        <f>VLOOKUP(B12,'пр.взв.'!B9:H24,5,FALSE)</f>
        <v>#N/A</v>
      </c>
      <c r="G12" s="227" t="e">
        <f>VLOOKUP(B12,'пр.взв.'!B7:H22,6,FALSE)</f>
        <v>#N/A</v>
      </c>
      <c r="H12" s="387" t="e">
        <f>VLOOKUP(B12,'пр.взв.'!B7:H22,7,FALSE)</f>
        <v>#N/A</v>
      </c>
      <c r="J12" s="371" t="e">
        <f>MID(F12,FIND(,F12),3)</f>
        <v>#N/A</v>
      </c>
      <c r="K12" s="371">
        <v>1</v>
      </c>
      <c r="L12" s="107">
        <v>7</v>
      </c>
      <c r="M12" s="113" t="s">
        <v>87</v>
      </c>
      <c r="N12" s="141">
        <f>SUMIF($J$4:$J$7,"омс",$K$4:$K$7)</f>
        <v>0</v>
      </c>
      <c r="O12" s="141">
        <f>SUMIF($I$8:$J$9,"омс",$K$6:$K$9)</f>
        <v>0</v>
      </c>
      <c r="P12" s="142">
        <f>SUMIF($J$10:$J$13,"омс",$K$10:$K$13)</f>
        <v>0</v>
      </c>
      <c r="Q12" s="142">
        <f>SUMIF($J$14:$J$17,"омс",$K$14:$K$17)</f>
        <v>0</v>
      </c>
      <c r="S12" s="147"/>
      <c r="T12" s="113" t="str">
        <f>IF(OR(J15=J7,J15=J11,J15=J13)," ",J15)</f>
        <v> </v>
      </c>
      <c r="U12" s="149"/>
      <c r="V12" s="149"/>
      <c r="W12" s="150"/>
      <c r="X12" s="150"/>
    </row>
    <row r="13" spans="1:24" ht="15" hidden="1">
      <c r="A13" s="406"/>
      <c r="B13" s="400"/>
      <c r="C13" s="398"/>
      <c r="D13" s="393"/>
      <c r="E13" s="390"/>
      <c r="F13" s="232"/>
      <c r="G13" s="228"/>
      <c r="H13" s="388"/>
      <c r="J13" s="371"/>
      <c r="K13" s="371"/>
      <c r="L13" s="112">
        <v>8</v>
      </c>
      <c r="M13" s="113" t="s">
        <v>88</v>
      </c>
      <c r="N13" s="141">
        <f>SUMIF($J$4:$J$7,"р.а",$K$4:$K$7)</f>
        <v>0</v>
      </c>
      <c r="O13" s="141">
        <f>SUMIF($I$8:$J$9,"р.а",$K$6:$K$9)</f>
        <v>0</v>
      </c>
      <c r="P13" s="142">
        <f>SUMIF($J$10:$J$13,"р.а",$K$10:$K$13)</f>
        <v>0</v>
      </c>
      <c r="Q13" s="142">
        <f>SUMIF($J$14:$J$17,"р.а",$K$14:$K$17)</f>
        <v>0</v>
      </c>
      <c r="S13" s="151"/>
      <c r="T13" s="148" t="e">
        <f>IF(OR(J16=J8,J16=J12,J16=J14)," ",J16)</f>
        <v>#N/A</v>
      </c>
      <c r="U13" s="149"/>
      <c r="V13" s="149"/>
      <c r="W13" s="150"/>
      <c r="X13" s="150"/>
    </row>
    <row r="14" spans="1:24" ht="12.75" customHeight="1" hidden="1">
      <c r="A14" s="399" t="s">
        <v>54</v>
      </c>
      <c r="B14" s="400" t="str">
        <f>'пр.хода'!Z21</f>
        <v> </v>
      </c>
      <c r="C14" s="394" t="e">
        <f>VLOOKUP(B14,'пр.взв.'!B7:H30,2,FALSE)</f>
        <v>#N/A</v>
      </c>
      <c r="D14" s="396" t="e">
        <f>VLOOKUP(B14,'пр.взв.'!B7:H22,3,FALSE)</f>
        <v>#N/A</v>
      </c>
      <c r="E14" s="389" t="e">
        <f>VLOOKUP(B14,'пр.взв.'!B1:H30,4,FALSE)</f>
        <v>#N/A</v>
      </c>
      <c r="F14" s="232" t="e">
        <f>VLOOKUP(B14,'пр.взв.'!B3:H26,5,FALSE)</f>
        <v>#N/A</v>
      </c>
      <c r="G14" s="227" t="e">
        <f>VLOOKUP(B14,'пр.взв.'!B7:H22,6,FALSE)</f>
        <v>#N/A</v>
      </c>
      <c r="H14" s="387" t="e">
        <f>VLOOKUP(B14,'пр.взв.'!B7:H22,7,FALSE)</f>
        <v>#N/A</v>
      </c>
      <c r="J14" s="371" t="e">
        <f>MID(F14,FIND(,F14),3)</f>
        <v>#N/A</v>
      </c>
      <c r="K14" s="371">
        <v>1</v>
      </c>
      <c r="L14" s="107">
        <v>9</v>
      </c>
      <c r="M14" s="113" t="s">
        <v>89</v>
      </c>
      <c r="N14" s="141">
        <f>SUMIF($J$4:$J$7,"р.б",$K$4:$K$7)</f>
        <v>0</v>
      </c>
      <c r="O14" s="141">
        <f>SUMIF($I$8:$J$9,"р.б",$K$6:$K$9)</f>
        <v>0</v>
      </c>
      <c r="P14" s="142">
        <f>SUMIF($J$10:$J$13,"р.б",$K$10:$K$13)</f>
        <v>0</v>
      </c>
      <c r="Q14" s="142">
        <f>SUMIF($J$14:$J$17,"р.б",$K$14:$K$17)</f>
        <v>0</v>
      </c>
      <c r="S14" s="147"/>
      <c r="T14" s="148"/>
      <c r="U14" s="149"/>
      <c r="V14" s="149"/>
      <c r="W14" s="150"/>
      <c r="X14" s="150"/>
    </row>
    <row r="15" spans="1:24" ht="15" hidden="1">
      <c r="A15" s="399"/>
      <c r="B15" s="400"/>
      <c r="C15" s="398"/>
      <c r="D15" s="393"/>
      <c r="E15" s="390"/>
      <c r="F15" s="232"/>
      <c r="G15" s="228"/>
      <c r="H15" s="388"/>
      <c r="J15" s="371"/>
      <c r="K15" s="371"/>
      <c r="L15" s="112">
        <v>10</v>
      </c>
      <c r="M15" s="113" t="s">
        <v>90</v>
      </c>
      <c r="N15" s="141">
        <f>SUMIF($J$4:$J$7,"р.х",$K$4:$K$7)</f>
        <v>0</v>
      </c>
      <c r="O15" s="141">
        <f>SUMIF($I$8:$J$9,"р.х",$K$6:$K$9)</f>
        <v>0</v>
      </c>
      <c r="P15" s="142">
        <f>SUMIF($J$10:$J$13,"р.х",$K$10:$K$13)</f>
        <v>0</v>
      </c>
      <c r="Q15" s="142">
        <f>SUMIF($J$14:$J$17,"р.х",$K$14:$K$17)</f>
        <v>0</v>
      </c>
      <c r="S15" s="151"/>
      <c r="T15" s="148"/>
      <c r="U15" s="149"/>
      <c r="V15" s="149"/>
      <c r="W15" s="150"/>
      <c r="X15" s="150"/>
    </row>
    <row r="16" spans="1:24" ht="12.75" customHeight="1" hidden="1">
      <c r="A16" s="399" t="s">
        <v>54</v>
      </c>
      <c r="B16" s="400" t="str">
        <f>'пр.хода'!Z22</f>
        <v> </v>
      </c>
      <c r="C16" s="394" t="e">
        <f>VLOOKUP(B16,'пр.взв.'!B7:H22,2,FALSE)</f>
        <v>#N/A</v>
      </c>
      <c r="D16" s="396" t="e">
        <f>VLOOKUP(B16,'пр.взв.'!B7:H22,3,FALSE)</f>
        <v>#N/A</v>
      </c>
      <c r="E16" s="389" t="e">
        <f>VLOOKUP(B16,'пр.взв.'!B1:H32,4,FALSE)</f>
        <v>#N/A</v>
      </c>
      <c r="F16" s="232" t="e">
        <f>VLOOKUP(B16,'пр.взв.'!B5:H28,5,FALSE)</f>
        <v>#N/A</v>
      </c>
      <c r="G16" s="227" t="e">
        <f>VLOOKUP(B16,'пр.взв.'!B7:H22,6,FALSE)</f>
        <v>#N/A</v>
      </c>
      <c r="H16" s="387" t="e">
        <f>VLOOKUP(B16,'пр.взв.'!B7:H22,7,FALSE)</f>
        <v>#N/A</v>
      </c>
      <c r="J16" s="371" t="e">
        <f>MID(F16,FIND(,F16),3)</f>
        <v>#N/A</v>
      </c>
      <c r="K16" s="371">
        <v>1</v>
      </c>
      <c r="L16" s="107">
        <v>11</v>
      </c>
      <c r="M16" s="143" t="s">
        <v>91</v>
      </c>
      <c r="N16" s="141">
        <f>SUMIF($J$4:$J$7,"том",$K$4:$K$7)</f>
        <v>0</v>
      </c>
      <c r="O16" s="141">
        <f>SUMIF($I$8:$J$9,"том",$K$6:$K$9)</f>
        <v>0</v>
      </c>
      <c r="P16" s="142">
        <f>SUMIF($J$10:$J$13,"том",$K$10:$K$13)</f>
        <v>0</v>
      </c>
      <c r="Q16" s="142">
        <f>SUMIF($J$14:$J$17,"том",$K$14:$K$17)</f>
        <v>0</v>
      </c>
      <c r="S16" s="147"/>
      <c r="T16" s="152"/>
      <c r="U16" s="149"/>
      <c r="V16" s="149"/>
      <c r="W16" s="150"/>
      <c r="X16" s="150"/>
    </row>
    <row r="17" spans="1:24" ht="15.75" hidden="1" thickBot="1">
      <c r="A17" s="399"/>
      <c r="B17" s="400"/>
      <c r="C17" s="398"/>
      <c r="D17" s="393"/>
      <c r="E17" s="390"/>
      <c r="F17" s="232"/>
      <c r="G17" s="228"/>
      <c r="H17" s="388"/>
      <c r="J17" s="371"/>
      <c r="K17" s="371"/>
      <c r="L17" s="112">
        <v>12</v>
      </c>
      <c r="M17" s="143" t="s">
        <v>92</v>
      </c>
      <c r="N17" s="141">
        <f>SUMIF($J$4:$J$7,"",$K$4:$K$7)</f>
        <v>0</v>
      </c>
      <c r="O17" s="141">
        <f>SUMIF($I$8:$J$9,"т",$K$6:$K$9)</f>
        <v>0</v>
      </c>
      <c r="P17" s="142">
        <f>SUMIF($J$10:$J$13,"",$K$10:$K$13)</f>
        <v>0</v>
      </c>
      <c r="Q17" s="142">
        <f>SUMIF($J$14:$J$17,"",$K$14:$K$17)</f>
        <v>0</v>
      </c>
      <c r="S17" s="151"/>
      <c r="T17" s="152"/>
      <c r="U17" s="149"/>
      <c r="V17" s="149"/>
      <c r="W17" s="150"/>
      <c r="X17" s="150"/>
    </row>
    <row r="18" spans="1:24" ht="12.75" customHeight="1" hidden="1" thickBot="1">
      <c r="A18" s="399" t="s">
        <v>43</v>
      </c>
      <c r="B18" s="400" t="str">
        <f>'пр.хода'!Z23</f>
        <v> </v>
      </c>
      <c r="C18" s="394" t="e">
        <f>VLOOKUP(B18,'пр.взв.'!B7:H22,2,FALSE)</f>
        <v>#N/A</v>
      </c>
      <c r="D18" s="396" t="e">
        <f>VLOOKUP(B18,'пр.взв.'!B7:H22,3,FALSE)</f>
        <v>#N/A</v>
      </c>
      <c r="E18" s="389" t="e">
        <f>VLOOKUP(B18,'пр.взв.'!B1:H34,4,FALSE)</f>
        <v>#N/A</v>
      </c>
      <c r="F18" s="232" t="e">
        <f>VLOOKUP(B18,'пр.взв.'!B7:H22,5,FALSE)</f>
        <v>#N/A</v>
      </c>
      <c r="G18" s="227" t="e">
        <f>VLOOKUP(B18,'пр.взв.'!B7:H22,6,FALSE)</f>
        <v>#N/A</v>
      </c>
      <c r="H18" s="387" t="e">
        <f>VLOOKUP(B18,'пр.взв.'!B7:H22,7,FALSE)</f>
        <v>#N/A</v>
      </c>
      <c r="L18" s="144"/>
      <c r="M18" s="145"/>
      <c r="N18" s="146">
        <f>SUM(N6:N17)</f>
        <v>0</v>
      </c>
      <c r="O18" s="146">
        <f>SUM(O6:O17)</f>
        <v>0</v>
      </c>
      <c r="P18" s="146">
        <f>SUM(P6:P17)</f>
        <v>0</v>
      </c>
      <c r="Q18" s="146">
        <f>SUM(Q6:Q17)</f>
        <v>0</v>
      </c>
      <c r="S18" s="144"/>
      <c r="T18" s="145"/>
      <c r="U18" s="146">
        <f>SUM(U6:U17)</f>
        <v>1</v>
      </c>
      <c r="V18" s="146">
        <f>SUM(V6:V17)</f>
        <v>5</v>
      </c>
      <c r="W18" s="146">
        <f>SUM(W6:W17)</f>
        <v>10</v>
      </c>
      <c r="X18" s="146">
        <f>SUM(X6:X17)</f>
        <v>10</v>
      </c>
    </row>
    <row r="19" spans="1:8" ht="12.75" hidden="1">
      <c r="A19" s="399"/>
      <c r="B19" s="400"/>
      <c r="C19" s="398"/>
      <c r="D19" s="393"/>
      <c r="E19" s="390"/>
      <c r="F19" s="232"/>
      <c r="G19" s="228"/>
      <c r="H19" s="388"/>
    </row>
    <row r="20" spans="1:8" ht="12.75" customHeight="1" hidden="1">
      <c r="A20" s="399" t="s">
        <v>43</v>
      </c>
      <c r="B20" s="402" t="str">
        <f>'пр.хода'!Z24</f>
        <v> </v>
      </c>
      <c r="C20" s="394" t="e">
        <f>VLOOKUP(B20,'пр.взв.'!B7:H22,2,FALSE)</f>
        <v>#N/A</v>
      </c>
      <c r="D20" s="396" t="e">
        <f>VLOOKUP(B20,'пр.взв.'!B7:H22,3,FALSE)</f>
        <v>#N/A</v>
      </c>
      <c r="E20" s="389" t="e">
        <f>VLOOKUP(B20,'пр.взв.'!B2:H36,4,FALSE)</f>
        <v>#N/A</v>
      </c>
      <c r="F20" s="232" t="e">
        <f>VLOOKUP(B20,'пр.взв.'!B7:H22,5,FALSE)</f>
        <v>#N/A</v>
      </c>
      <c r="G20" s="227" t="e">
        <f>VLOOKUP(B20,'пр.взв.'!B7:H22,6,FALSE)</f>
        <v>#N/A</v>
      </c>
      <c r="H20" s="387" t="e">
        <f>VLOOKUP(B20,'пр.взв.'!B7:H22,7,FALSE)</f>
        <v>#N/A</v>
      </c>
    </row>
    <row r="21" spans="1:8" ht="13.5" hidden="1" thickBot="1">
      <c r="A21" s="401"/>
      <c r="B21" s="403"/>
      <c r="C21" s="395"/>
      <c r="D21" s="397"/>
      <c r="E21" s="391"/>
      <c r="F21" s="404"/>
      <c r="G21" s="405"/>
      <c r="H21" s="414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tr">
        <f>'[3]реквизиты'!$G$7</f>
        <v>Н.Н.Малышев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5" t="str">
        <f>'[3]реквизиты'!$G$8</f>
        <v>/г.Дубна/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ВК</v>
      </c>
      <c r="B32" s="55"/>
      <c r="C32" s="56"/>
      <c r="D32" s="52"/>
      <c r="E32" s="52"/>
      <c r="F32" s="52"/>
      <c r="G32" s="54" t="str">
        <f>'[3]реквизиты'!$G$9</f>
        <v>Д.П.Сапунов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5" t="str">
        <f>'[3]реквизиты'!$G$10</f>
        <v>/г.Качканар/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  <mergeCell ref="E4:F5"/>
    <mergeCell ref="H8:H9"/>
    <mergeCell ref="G4:G5"/>
    <mergeCell ref="F6:F7"/>
    <mergeCell ref="G6:G7"/>
    <mergeCell ref="F8:F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F18:F19"/>
    <mergeCell ref="G18:G19"/>
    <mergeCell ref="F20:F21"/>
    <mergeCell ref="G20:G21"/>
    <mergeCell ref="F14:F15"/>
    <mergeCell ref="G14:G15"/>
    <mergeCell ref="F16:F17"/>
    <mergeCell ref="G16:G17"/>
    <mergeCell ref="C20:C21"/>
    <mergeCell ref="D20:D21"/>
    <mergeCell ref="C18:C19"/>
    <mergeCell ref="D18:D19"/>
    <mergeCell ref="A18:A19"/>
    <mergeCell ref="B18:B19"/>
    <mergeCell ref="A20:A21"/>
    <mergeCell ref="B20:B21"/>
    <mergeCell ref="E18:E19"/>
    <mergeCell ref="E20:E21"/>
    <mergeCell ref="E6:E7"/>
    <mergeCell ref="E8:E9"/>
    <mergeCell ref="E10:E11"/>
    <mergeCell ref="E12:E13"/>
    <mergeCell ref="E14:E15"/>
    <mergeCell ref="E16:E17"/>
    <mergeCell ref="F12:F13"/>
    <mergeCell ref="G12:G13"/>
    <mergeCell ref="H10:H11"/>
    <mergeCell ref="G8:G9"/>
    <mergeCell ref="F10:F11"/>
    <mergeCell ref="G10:G11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K10:K11"/>
    <mergeCell ref="J12:J13"/>
    <mergeCell ref="K12:K13"/>
    <mergeCell ref="J4:J5"/>
    <mergeCell ref="K4:K5"/>
    <mergeCell ref="L4:L5"/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229" t="str">
        <f>'пр.хода'!C3</f>
        <v>Первенство России по БОЕВОМУ САМБО среди юниоров 1996-1997г.р .</v>
      </c>
      <c r="B1" s="422"/>
      <c r="C1" s="422"/>
      <c r="D1" s="422"/>
      <c r="E1" s="422"/>
      <c r="F1" s="422"/>
      <c r="G1" s="422"/>
      <c r="H1" s="422"/>
      <c r="I1" s="422"/>
    </row>
    <row r="2" spans="4:6" ht="27.75" customHeight="1">
      <c r="D2" s="49"/>
      <c r="E2" s="49"/>
      <c r="F2" s="60" t="str">
        <f>HYPERLINK('пр.взв.'!D4)</f>
        <v>в.к. 48 кг</v>
      </c>
    </row>
    <row r="3" ht="13.5">
      <c r="C3" s="12" t="s">
        <v>22</v>
      </c>
    </row>
    <row r="4" ht="13.5">
      <c r="C4" s="47" t="s">
        <v>12</v>
      </c>
    </row>
    <row r="5" spans="1:9" ht="12.75">
      <c r="A5" s="211" t="s">
        <v>13</v>
      </c>
      <c r="B5" s="211" t="s">
        <v>5</v>
      </c>
      <c r="C5" s="210" t="s">
        <v>6</v>
      </c>
      <c r="D5" s="211" t="s">
        <v>14</v>
      </c>
      <c r="E5" s="435" t="s">
        <v>15</v>
      </c>
      <c r="F5" s="436"/>
      <c r="G5" s="211" t="s">
        <v>16</v>
      </c>
      <c r="H5" s="211" t="s">
        <v>17</v>
      </c>
      <c r="I5" s="211" t="s">
        <v>18</v>
      </c>
    </row>
    <row r="6" spans="1:9" ht="12.75">
      <c r="A6" s="209"/>
      <c r="B6" s="209"/>
      <c r="C6" s="209"/>
      <c r="D6" s="209"/>
      <c r="E6" s="437"/>
      <c r="F6" s="438"/>
      <c r="G6" s="209"/>
      <c r="H6" s="209"/>
      <c r="I6" s="209"/>
    </row>
    <row r="7" spans="1:9" ht="12.75">
      <c r="A7" s="430"/>
      <c r="B7" s="324">
        <f>'пр.хода'!C22</f>
        <v>0</v>
      </c>
      <c r="C7" s="432" t="e">
        <f>VLOOKUP(B7,'пр.взв.'!B7:D22,2,FALSE)</f>
        <v>#N/A</v>
      </c>
      <c r="D7" s="423" t="e">
        <f>VLOOKUP(B7,'пр.взв.'!B7:F22,3,FALSE)</f>
        <v>#N/A</v>
      </c>
      <c r="E7" s="389" t="e">
        <f>VLOOKUP(B7,'пр.взв.'!B7:F22,4,FALSE)</f>
        <v>#N/A</v>
      </c>
      <c r="F7" s="423" t="e">
        <f>VLOOKUP(B7,'пр.взв.'!B7:G22,5,FALSE)</f>
        <v>#N/A</v>
      </c>
      <c r="G7" s="431"/>
      <c r="H7" s="319"/>
      <c r="I7" s="211"/>
    </row>
    <row r="8" spans="1:9" ht="12.75">
      <c r="A8" s="430"/>
      <c r="B8" s="211"/>
      <c r="C8" s="433"/>
      <c r="D8" s="424"/>
      <c r="E8" s="390"/>
      <c r="F8" s="429"/>
      <c r="G8" s="431"/>
      <c r="H8" s="319"/>
      <c r="I8" s="211"/>
    </row>
    <row r="9" spans="1:9" ht="12.75">
      <c r="A9" s="425"/>
      <c r="B9" s="324" t="str">
        <f>'пр.хода'!B27</f>
        <v> </v>
      </c>
      <c r="C9" s="432" t="e">
        <f>VLOOKUP(B9,'пр.взв.'!B7:D24,2,FALSE)</f>
        <v>#N/A</v>
      </c>
      <c r="D9" s="423" t="e">
        <f>VLOOKUP(B9,'пр.взв.'!B7:F24,3,FALSE)</f>
        <v>#N/A</v>
      </c>
      <c r="E9" s="389" t="e">
        <f>VLOOKUP(B9,'пр.взв.'!B9:F24,4,FALSE)</f>
        <v>#N/A</v>
      </c>
      <c r="F9" s="423" t="e">
        <f>VLOOKUP(B9,'пр.взв.'!B7:G24,5,FALSE)</f>
        <v>#N/A</v>
      </c>
      <c r="G9" s="431"/>
      <c r="H9" s="211"/>
      <c r="I9" s="211"/>
    </row>
    <row r="10" spans="1:9" ht="12.75">
      <c r="A10" s="425"/>
      <c r="B10" s="211"/>
      <c r="C10" s="433"/>
      <c r="D10" s="424"/>
      <c r="E10" s="434"/>
      <c r="F10" s="424"/>
      <c r="G10" s="431"/>
      <c r="H10" s="211"/>
      <c r="I10" s="211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48 кг</v>
      </c>
    </row>
    <row r="17" spans="1:9" ht="12.75">
      <c r="A17" s="211" t="s">
        <v>13</v>
      </c>
      <c r="B17" s="211" t="s">
        <v>5</v>
      </c>
      <c r="C17" s="210" t="s">
        <v>6</v>
      </c>
      <c r="D17" s="211" t="s">
        <v>14</v>
      </c>
      <c r="E17" s="435" t="s">
        <v>15</v>
      </c>
      <c r="F17" s="436"/>
      <c r="G17" s="211" t="s">
        <v>16</v>
      </c>
      <c r="H17" s="211" t="s">
        <v>17</v>
      </c>
      <c r="I17" s="211" t="s">
        <v>18</v>
      </c>
    </row>
    <row r="18" spans="1:9" ht="12.75">
      <c r="A18" s="209"/>
      <c r="B18" s="209"/>
      <c r="C18" s="209"/>
      <c r="D18" s="209"/>
      <c r="E18" s="437"/>
      <c r="F18" s="438"/>
      <c r="G18" s="209"/>
      <c r="H18" s="209"/>
      <c r="I18" s="209"/>
    </row>
    <row r="19" spans="1:9" ht="12.75" customHeight="1">
      <c r="A19" s="430"/>
      <c r="B19" s="426">
        <f>'пр.хода'!R22</f>
        <v>0</v>
      </c>
      <c r="C19" s="427" t="e">
        <f>VLOOKUP(B19,'пр.взв.'!B7:F22,2,FALSE)</f>
        <v>#N/A</v>
      </c>
      <c r="D19" s="428" t="e">
        <f>VLOOKUP(B19,'пр.взв.'!B7:G22,3,FALSE)</f>
        <v>#N/A</v>
      </c>
      <c r="E19" s="389" t="e">
        <f>VLOOKUP(B19,'пр.взв.'!B1:F34,4,FALSE)</f>
        <v>#N/A</v>
      </c>
      <c r="F19" s="423" t="e">
        <f>VLOOKUP(B19,'пр.взв.'!B7:H22,5,FALSE)</f>
        <v>#N/A</v>
      </c>
      <c r="G19" s="327"/>
      <c r="H19" s="319"/>
      <c r="I19" s="211"/>
    </row>
    <row r="20" spans="1:9" ht="12.75">
      <c r="A20" s="430"/>
      <c r="B20" s="211"/>
      <c r="C20" s="427"/>
      <c r="D20" s="428"/>
      <c r="E20" s="390"/>
      <c r="F20" s="429"/>
      <c r="G20" s="327"/>
      <c r="H20" s="319"/>
      <c r="I20" s="211"/>
    </row>
    <row r="21" spans="1:9" ht="12.75" customHeight="1">
      <c r="A21" s="425"/>
      <c r="B21" s="324" t="str">
        <f>'пр.хода'!S27</f>
        <v> </v>
      </c>
      <c r="C21" s="427" t="e">
        <f>VLOOKUP(B21,'пр.взв.'!B7:F24,2,FALSE)</f>
        <v>#N/A</v>
      </c>
      <c r="D21" s="428" t="e">
        <f>VLOOKUP(B21,'пр.взв.'!B7:G24,3,FALSE)</f>
        <v>#N/A</v>
      </c>
      <c r="E21" s="389" t="e">
        <f>VLOOKUP(B21,'пр.взв.'!B2:F36,4,FALSE)</f>
        <v>#N/A</v>
      </c>
      <c r="F21" s="423" t="e">
        <f>VLOOKUP(B21,'пр.взв.'!B7:H24,5,FALSE)</f>
        <v>#N/A</v>
      </c>
      <c r="G21" s="327"/>
      <c r="H21" s="211"/>
      <c r="I21" s="211"/>
    </row>
    <row r="22" spans="1:9" ht="12.75">
      <c r="A22" s="425"/>
      <c r="B22" s="211"/>
      <c r="C22" s="427"/>
      <c r="D22" s="428"/>
      <c r="E22" s="434"/>
      <c r="F22" s="424"/>
      <c r="G22" s="327"/>
      <c r="H22" s="211"/>
      <c r="I22" s="211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48 кг</v>
      </c>
    </row>
    <row r="30" spans="1:9" ht="12.75">
      <c r="A30" s="211" t="s">
        <v>13</v>
      </c>
      <c r="B30" s="211" t="s">
        <v>5</v>
      </c>
      <c r="C30" s="210" t="s">
        <v>6</v>
      </c>
      <c r="D30" s="211" t="s">
        <v>14</v>
      </c>
      <c r="E30" s="435" t="s">
        <v>15</v>
      </c>
      <c r="F30" s="436"/>
      <c r="G30" s="211" t="s">
        <v>16</v>
      </c>
      <c r="H30" s="211" t="s">
        <v>17</v>
      </c>
      <c r="I30" s="211" t="s">
        <v>18</v>
      </c>
    </row>
    <row r="31" spans="1:9" ht="12.75">
      <c r="A31" s="209"/>
      <c r="B31" s="209"/>
      <c r="C31" s="209"/>
      <c r="D31" s="209"/>
      <c r="E31" s="439"/>
      <c r="F31" s="440"/>
      <c r="G31" s="209"/>
      <c r="H31" s="209"/>
      <c r="I31" s="209"/>
    </row>
    <row r="32" spans="1:9" ht="12.75" customHeight="1">
      <c r="A32" s="430"/>
      <c r="B32" s="426">
        <f>'пр.хода'!G11</f>
        <v>0</v>
      </c>
      <c r="C32" s="427" t="e">
        <f>VLOOKUP(B32,'пр.взв.'!B7:F35,2,FALSE)</f>
        <v>#N/A</v>
      </c>
      <c r="D32" s="428" t="e">
        <f>VLOOKUP(B32,'пр.взв.'!B7:G35,3,FALSE)</f>
        <v>#N/A</v>
      </c>
      <c r="E32" s="389" t="e">
        <f>VLOOKUP(B32,'пр.взв.'!B2:F47,4,FALSE)</f>
        <v>#N/A</v>
      </c>
      <c r="F32" s="423" t="e">
        <f>VLOOKUP(B32,'пр.взв.'!B7:H35,5,FALSE)</f>
        <v>#N/A</v>
      </c>
      <c r="G32" s="327"/>
      <c r="H32" s="319"/>
      <c r="I32" s="211"/>
    </row>
    <row r="33" spans="1:9" ht="12.75">
      <c r="A33" s="430"/>
      <c r="B33" s="211"/>
      <c r="C33" s="427"/>
      <c r="D33" s="428"/>
      <c r="E33" s="390"/>
      <c r="F33" s="429"/>
      <c r="G33" s="327"/>
      <c r="H33" s="319"/>
      <c r="I33" s="211"/>
    </row>
    <row r="34" spans="1:9" ht="12.75" customHeight="1">
      <c r="A34" s="425"/>
      <c r="B34" s="426">
        <f>'пр.хода'!O11</f>
        <v>0</v>
      </c>
      <c r="C34" s="427" t="e">
        <f>VLOOKUP(B34,'пр.взв.'!B7:F37,2,FALSE)</f>
        <v>#N/A</v>
      </c>
      <c r="D34" s="428" t="e">
        <f>VLOOKUP(B34,'пр.взв.'!B7:G37,3,FALSE)</f>
        <v>#N/A</v>
      </c>
      <c r="E34" s="389" t="e">
        <f>VLOOKUP(B34,'пр.взв.'!B3:F49,4,FALSE)</f>
        <v>#N/A</v>
      </c>
      <c r="F34" s="423" t="e">
        <f>VLOOKUP(B34,'пр.взв.'!B7:H37,5,FALSE)</f>
        <v>#N/A</v>
      </c>
      <c r="G34" s="327"/>
      <c r="H34" s="211"/>
      <c r="I34" s="211"/>
    </row>
    <row r="35" spans="1:9" ht="12.75">
      <c r="A35" s="425"/>
      <c r="B35" s="211"/>
      <c r="C35" s="427"/>
      <c r="D35" s="428"/>
      <c r="E35" s="434"/>
      <c r="F35" s="424"/>
      <c r="G35" s="327"/>
      <c r="H35" s="211"/>
      <c r="I35" s="211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7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31">
      <selection activeCell="A1" sqref="A1:H38"/>
    </sheetView>
  </sheetViews>
  <sheetFormatPr defaultColWidth="9.140625" defaultRowHeight="12.75"/>
  <sheetData>
    <row r="1" spans="1:8" ht="15.75" thickBot="1">
      <c r="A1" s="441" t="str">
        <f>HYPERLINK('[1]реквизиты'!$A$2)</f>
        <v>Первенство России по БОЕВОМУ САМБО среди юниоров 1996-1997г.р .</v>
      </c>
      <c r="B1" s="442"/>
      <c r="C1" s="442"/>
      <c r="D1" s="442"/>
      <c r="E1" s="442"/>
      <c r="F1" s="442"/>
      <c r="G1" s="442"/>
      <c r="H1" s="443"/>
    </row>
    <row r="2" spans="1:8" ht="12.75">
      <c r="A2" s="444" t="str">
        <f>HYPERLINK('[1]реквизиты'!$A$3)</f>
        <v>12-15 октября 2016.                                                         г.Кстово</v>
      </c>
      <c r="B2" s="444"/>
      <c r="C2" s="444"/>
      <c r="D2" s="444"/>
      <c r="E2" s="444"/>
      <c r="F2" s="444"/>
      <c r="G2" s="444"/>
      <c r="H2" s="444"/>
    </row>
    <row r="3" spans="1:8" ht="18" thickBot="1">
      <c r="A3" s="445" t="s">
        <v>48</v>
      </c>
      <c r="B3" s="445"/>
      <c r="C3" s="445"/>
      <c r="D3" s="445"/>
      <c r="E3" s="445"/>
      <c r="F3" s="445"/>
      <c r="G3" s="445"/>
      <c r="H3" s="445"/>
    </row>
    <row r="4" spans="2:8" ht="18" thickBot="1">
      <c r="B4" s="85"/>
      <c r="C4" s="86"/>
      <c r="D4" s="446" t="str">
        <f>HYPERLINK('[2]пр.взв.'!D4)</f>
        <v>в.к.   кг.</v>
      </c>
      <c r="E4" s="447"/>
      <c r="F4" s="448"/>
      <c r="G4" s="86"/>
      <c r="H4" s="86"/>
    </row>
    <row r="5" spans="1:8" ht="18" thickBot="1">
      <c r="A5" s="86"/>
      <c r="B5" s="86"/>
      <c r="C5" s="86"/>
      <c r="D5" s="86"/>
      <c r="E5" s="86"/>
      <c r="F5" s="86"/>
      <c r="G5" s="86"/>
      <c r="H5" s="86"/>
    </row>
    <row r="6" spans="1:10" ht="17.25">
      <c r="A6" s="449" t="s">
        <v>49</v>
      </c>
      <c r="B6" s="452" t="str">
        <f>VLOOKUP(J6,'пр.взв.'!B7:G38,2,FALSE)</f>
        <v>ГАДЖИВЕРДИЕВ Эльвин Габил оглы</v>
      </c>
      <c r="C6" s="452"/>
      <c r="D6" s="452"/>
      <c r="E6" s="452"/>
      <c r="F6" s="452"/>
      <c r="G6" s="452"/>
      <c r="H6" s="454" t="str">
        <f>VLOOKUP(J6,'пр.взв.'!B7:G38,3,FALSE)</f>
        <v>05.03.97 1р</v>
      </c>
      <c r="I6" s="86"/>
      <c r="J6" s="87">
        <f>Итоговый!B6</f>
        <v>1</v>
      </c>
    </row>
    <row r="7" spans="1:10" ht="17.25">
      <c r="A7" s="450"/>
      <c r="B7" s="453"/>
      <c r="C7" s="453"/>
      <c r="D7" s="453"/>
      <c r="E7" s="453"/>
      <c r="F7" s="453"/>
      <c r="G7" s="453"/>
      <c r="H7" s="455"/>
      <c r="I7" s="86"/>
      <c r="J7" s="87"/>
    </row>
    <row r="8" spans="1:10" ht="17.25">
      <c r="A8" s="450"/>
      <c r="B8" s="456" t="str">
        <f>VLOOKUP(J6,'пр.взв.'!B7:G38,4,FALSE)</f>
        <v>Москва</v>
      </c>
      <c r="C8" s="456"/>
      <c r="D8" s="456" t="str">
        <f>VLOOKUP(J6,'пр.взв.'!B7:G38,5,FALSE)</f>
        <v>МГФСО</v>
      </c>
      <c r="E8" s="456"/>
      <c r="F8" s="456"/>
      <c r="G8" s="456"/>
      <c r="H8" s="458"/>
      <c r="I8" s="86"/>
      <c r="J8" s="87"/>
    </row>
    <row r="9" spans="1:10" ht="18" thickBot="1">
      <c r="A9" s="451"/>
      <c r="B9" s="457"/>
      <c r="C9" s="457"/>
      <c r="D9" s="457"/>
      <c r="E9" s="457"/>
      <c r="F9" s="457"/>
      <c r="G9" s="457"/>
      <c r="H9" s="459"/>
      <c r="I9" s="86"/>
      <c r="J9" s="87"/>
    </row>
    <row r="10" spans="1:10" ht="18" thickBot="1">
      <c r="A10" s="86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>
      <c r="A11" s="460" t="s">
        <v>50</v>
      </c>
      <c r="B11" s="452" t="e">
        <f>VLOOKUP(J11,'пр.взв.'!B2:G43,2,FALSE)</f>
        <v>#N/A</v>
      </c>
      <c r="C11" s="452"/>
      <c r="D11" s="452"/>
      <c r="E11" s="452"/>
      <c r="F11" s="452"/>
      <c r="G11" s="452"/>
      <c r="H11" s="454" t="e">
        <f>VLOOKUP(J11,'пр.взв.'!B2:G43,3,FALSE)</f>
        <v>#N/A</v>
      </c>
      <c r="I11" s="86"/>
      <c r="J11" s="87">
        <f>Итоговый!B8</f>
        <v>0</v>
      </c>
    </row>
    <row r="12" spans="1:10" ht="18" customHeight="1">
      <c r="A12" s="461"/>
      <c r="B12" s="453"/>
      <c r="C12" s="453"/>
      <c r="D12" s="453"/>
      <c r="E12" s="453"/>
      <c r="F12" s="453"/>
      <c r="G12" s="453"/>
      <c r="H12" s="455"/>
      <c r="I12" s="86"/>
      <c r="J12" s="87"/>
    </row>
    <row r="13" spans="1:10" ht="17.25">
      <c r="A13" s="461"/>
      <c r="B13" s="456" t="e">
        <f>VLOOKUP(J11,'пр.взв.'!B2:G43,4,FALSE)</f>
        <v>#N/A</v>
      </c>
      <c r="C13" s="456"/>
      <c r="D13" s="456" t="e">
        <f>VLOOKUP(J11,'пр.взв.'!B2:G43,5,FALSE)</f>
        <v>#N/A</v>
      </c>
      <c r="E13" s="456"/>
      <c r="F13" s="456"/>
      <c r="G13" s="456"/>
      <c r="H13" s="458"/>
      <c r="I13" s="86"/>
      <c r="J13" s="87"/>
    </row>
    <row r="14" spans="1:10" ht="18" thickBot="1">
      <c r="A14" s="462"/>
      <c r="B14" s="457"/>
      <c r="C14" s="457"/>
      <c r="D14" s="457"/>
      <c r="E14" s="457"/>
      <c r="F14" s="457"/>
      <c r="G14" s="457"/>
      <c r="H14" s="459"/>
      <c r="I14" s="86"/>
      <c r="J14" s="87"/>
    </row>
    <row r="15" spans="1:10" ht="18" thickBot="1">
      <c r="A15" s="86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8" customHeight="1">
      <c r="A16" s="463" t="s">
        <v>51</v>
      </c>
      <c r="B16" s="452" t="e">
        <f>VLOOKUP(J16,'пр.взв.'!B7:G48,2,FALSE)</f>
        <v>#N/A</v>
      </c>
      <c r="C16" s="452"/>
      <c r="D16" s="452"/>
      <c r="E16" s="452"/>
      <c r="F16" s="452"/>
      <c r="G16" s="452"/>
      <c r="H16" s="454" t="e">
        <f>VLOOKUP(J16,'пр.взв.'!B7:G48,3,FALSE)</f>
        <v>#N/A</v>
      </c>
      <c r="I16" s="86"/>
      <c r="J16" s="87">
        <f>Итоговый!B10</f>
        <v>0</v>
      </c>
    </row>
    <row r="17" spans="1:10" ht="18" customHeight="1">
      <c r="A17" s="464"/>
      <c r="B17" s="453"/>
      <c r="C17" s="453"/>
      <c r="D17" s="453"/>
      <c r="E17" s="453"/>
      <c r="F17" s="453"/>
      <c r="G17" s="453"/>
      <c r="H17" s="455"/>
      <c r="I17" s="86"/>
      <c r="J17" s="87"/>
    </row>
    <row r="18" spans="1:10" ht="17.25">
      <c r="A18" s="464"/>
      <c r="B18" s="456" t="e">
        <f>VLOOKUP(J16,'пр.взв.'!B7:G48,4,FALSE)</f>
        <v>#N/A</v>
      </c>
      <c r="C18" s="456"/>
      <c r="D18" s="456" t="e">
        <f>VLOOKUP(J16,'пр.взв.'!B7:G48,5,FALSE)</f>
        <v>#N/A</v>
      </c>
      <c r="E18" s="456"/>
      <c r="F18" s="456"/>
      <c r="G18" s="456"/>
      <c r="H18" s="458"/>
      <c r="I18" s="86"/>
      <c r="J18" s="87"/>
    </row>
    <row r="19" spans="1:10" ht="18" thickBot="1">
      <c r="A19" s="465"/>
      <c r="B19" s="457"/>
      <c r="C19" s="457"/>
      <c r="D19" s="457"/>
      <c r="E19" s="457"/>
      <c r="F19" s="457"/>
      <c r="G19" s="457"/>
      <c r="H19" s="459"/>
      <c r="I19" s="86"/>
      <c r="J19" s="87"/>
    </row>
    <row r="20" spans="1:10" ht="18" thickBot="1">
      <c r="A20" s="86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8" customHeight="1">
      <c r="A21" s="463" t="s">
        <v>51</v>
      </c>
      <c r="B21" s="452" t="e">
        <f>VLOOKUP(J21,'пр.взв.'!B2:G53,2,FALSE)</f>
        <v>#N/A</v>
      </c>
      <c r="C21" s="452"/>
      <c r="D21" s="452"/>
      <c r="E21" s="452"/>
      <c r="F21" s="452"/>
      <c r="G21" s="452"/>
      <c r="H21" s="454" t="e">
        <f>VLOOKUP(J21,'пр.взв.'!B2:G53,3,FALSE)</f>
        <v>#N/A</v>
      </c>
      <c r="I21" s="86"/>
      <c r="J21" s="87">
        <f>Итоговый!B12</f>
        <v>0</v>
      </c>
    </row>
    <row r="22" spans="1:10" ht="18" customHeight="1">
      <c r="A22" s="464"/>
      <c r="B22" s="453"/>
      <c r="C22" s="453"/>
      <c r="D22" s="453"/>
      <c r="E22" s="453"/>
      <c r="F22" s="453"/>
      <c r="G22" s="453"/>
      <c r="H22" s="455"/>
      <c r="I22" s="86"/>
      <c r="J22" s="87"/>
    </row>
    <row r="23" spans="1:9" ht="17.25">
      <c r="A23" s="464"/>
      <c r="B23" s="456" t="e">
        <f>VLOOKUP(J21,'пр.взв.'!B2:G53,4,FALSE)</f>
        <v>#N/A</v>
      </c>
      <c r="C23" s="456"/>
      <c r="D23" s="456" t="e">
        <f>VLOOKUP(J21,'пр.взв.'!B2:G53,5,FALSE)</f>
        <v>#N/A</v>
      </c>
      <c r="E23" s="456"/>
      <c r="F23" s="456"/>
      <c r="G23" s="456"/>
      <c r="H23" s="458"/>
      <c r="I23" s="86"/>
    </row>
    <row r="24" spans="1:9" ht="18" thickBot="1">
      <c r="A24" s="465"/>
      <c r="B24" s="457"/>
      <c r="C24" s="457"/>
      <c r="D24" s="457"/>
      <c r="E24" s="457"/>
      <c r="F24" s="457"/>
      <c r="G24" s="457"/>
      <c r="H24" s="459"/>
      <c r="I24" s="86"/>
    </row>
    <row r="25" spans="1:8" ht="17.25">
      <c r="A25" s="86"/>
      <c r="B25" s="86"/>
      <c r="C25" s="86"/>
      <c r="D25" s="86"/>
      <c r="E25" s="86"/>
      <c r="F25" s="86"/>
      <c r="G25" s="86"/>
      <c r="H25" s="86"/>
    </row>
    <row r="26" spans="1:8" ht="17.25">
      <c r="A26" s="86" t="s">
        <v>52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466" t="str">
        <f>VLOOKUP(J28,'пр.взв.'!B7:H38,7,FALSE)</f>
        <v>Пучков СА</v>
      </c>
      <c r="B28" s="467"/>
      <c r="C28" s="467"/>
      <c r="D28" s="467"/>
      <c r="E28" s="467"/>
      <c r="F28" s="467"/>
      <c r="G28" s="467"/>
      <c r="H28" s="468"/>
      <c r="J28">
        <f>J6</f>
        <v>1</v>
      </c>
    </row>
    <row r="29" spans="1:8" ht="13.5" thickBot="1">
      <c r="A29" s="469"/>
      <c r="B29" s="457"/>
      <c r="C29" s="457"/>
      <c r="D29" s="457"/>
      <c r="E29" s="457"/>
      <c r="F29" s="457"/>
      <c r="G29" s="457"/>
      <c r="H29" s="459"/>
    </row>
    <row r="36" spans="1:8" ht="17.25">
      <c r="A36" s="86" t="s">
        <v>53</v>
      </c>
      <c r="B36" s="86"/>
      <c r="C36" s="86"/>
      <c r="D36" s="86"/>
      <c r="E36" s="86"/>
      <c r="F36" s="86"/>
      <c r="G36" s="86"/>
      <c r="H36" s="86"/>
    </row>
    <row r="37" spans="1:8" ht="17.25">
      <c r="A37" s="86"/>
      <c r="B37" s="86"/>
      <c r="C37" s="86"/>
      <c r="D37" s="86"/>
      <c r="E37" s="86"/>
      <c r="F37" s="86"/>
      <c r="G37" s="86"/>
      <c r="H37" s="86"/>
    </row>
    <row r="38" spans="1:8" ht="17.25">
      <c r="A38" s="86"/>
      <c r="B38" s="86"/>
      <c r="C38" s="86"/>
      <c r="D38" s="86"/>
      <c r="E38" s="86"/>
      <c r="F38" s="86"/>
      <c r="G38" s="86"/>
      <c r="H38" s="86"/>
    </row>
    <row r="39" spans="1:8" ht="17.25">
      <c r="A39" s="88"/>
      <c r="B39" s="88"/>
      <c r="C39" s="88"/>
      <c r="D39" s="88"/>
      <c r="E39" s="88"/>
      <c r="F39" s="88"/>
      <c r="G39" s="88"/>
      <c r="H39" s="88"/>
    </row>
    <row r="40" spans="1:8" ht="17.25">
      <c r="A40" s="89"/>
      <c r="B40" s="89"/>
      <c r="C40" s="89"/>
      <c r="D40" s="89"/>
      <c r="E40" s="89"/>
      <c r="F40" s="89"/>
      <c r="G40" s="89"/>
      <c r="H40" s="89"/>
    </row>
    <row r="41" spans="1:8" ht="17.25">
      <c r="A41" s="88"/>
      <c r="B41" s="88"/>
      <c r="C41" s="88"/>
      <c r="D41" s="88"/>
      <c r="E41" s="88"/>
      <c r="F41" s="88"/>
      <c r="G41" s="88"/>
      <c r="H41" s="88"/>
    </row>
    <row r="42" spans="1:8" ht="17.25">
      <c r="A42" s="90"/>
      <c r="B42" s="90"/>
      <c r="C42" s="90"/>
      <c r="D42" s="90"/>
      <c r="E42" s="90"/>
      <c r="F42" s="90"/>
      <c r="G42" s="90"/>
      <c r="H42" s="90"/>
    </row>
    <row r="43" spans="1:8" ht="17.25">
      <c r="A43" s="88"/>
      <c r="B43" s="88"/>
      <c r="C43" s="88"/>
      <c r="D43" s="88"/>
      <c r="E43" s="88"/>
      <c r="F43" s="88"/>
      <c r="G43" s="88"/>
      <c r="H43" s="88"/>
    </row>
    <row r="44" spans="1:8" ht="17.25">
      <c r="A44" s="90"/>
      <c r="B44" s="90"/>
      <c r="C44" s="90"/>
      <c r="D44" s="90"/>
      <c r="E44" s="90"/>
      <c r="F44" s="90"/>
      <c r="G44" s="90"/>
      <c r="H44" s="90"/>
    </row>
  </sheetData>
  <sheetProtection/>
  <mergeCells count="25">
    <mergeCell ref="A21:A24"/>
    <mergeCell ref="B21:G22"/>
    <mergeCell ref="H21:H22"/>
    <mergeCell ref="B23:C24"/>
    <mergeCell ref="D23:H24"/>
    <mergeCell ref="A28:H2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74" t="s">
        <v>25</v>
      </c>
      <c r="D1" s="475"/>
      <c r="E1" s="475"/>
      <c r="F1" s="475"/>
      <c r="G1" s="475"/>
      <c r="H1" s="475"/>
      <c r="I1" s="475"/>
      <c r="J1" s="476"/>
    </row>
    <row r="2" spans="1:36" ht="26.25" customHeight="1" thickBot="1">
      <c r="A2" s="6"/>
      <c r="B2" s="6"/>
      <c r="C2" s="229" t="str">
        <f>'пр.хода'!C3</f>
        <v>Первенство России по БОЕВОМУ САМБО среди юниоров 1996-1997г.р .</v>
      </c>
      <c r="D2" s="422"/>
      <c r="E2" s="422"/>
      <c r="F2" s="422"/>
      <c r="G2" s="422"/>
      <c r="H2" s="422"/>
      <c r="I2" s="422"/>
      <c r="J2" s="470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1" t="str">
        <f>'пр.хода'!C4</f>
        <v>12-15 октября 2016.                                                         г.Кстово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81"/>
      <c r="N3" s="81"/>
      <c r="O3" s="81"/>
      <c r="P3" s="81"/>
      <c r="Q3" s="81"/>
      <c r="R3" s="8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48 кг</v>
      </c>
      <c r="G4" s="59"/>
      <c r="H4" s="59"/>
      <c r="I4" s="59"/>
      <c r="J4" s="59"/>
      <c r="K4" s="59"/>
      <c r="L4" s="58"/>
      <c r="M4" s="58"/>
    </row>
    <row r="5" spans="1:13" ht="15.75" thickBot="1">
      <c r="A5" s="256" t="s">
        <v>0</v>
      </c>
      <c r="B5" s="256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33">
        <v>1</v>
      </c>
      <c r="B6" s="257" t="str">
        <f>VLOOKUP('стартвый '!A6:A7,'пр.взв.'!B6:C21,2,FALSE)</f>
        <v>ГАДЖИВЕРДИЕВ Эльвин Габил оглы</v>
      </c>
      <c r="C6" s="259" t="str">
        <f>VLOOKUP(A6,'пр.взв.'!B6:H21,3,FALSE)</f>
        <v>05.03.97 1р</v>
      </c>
      <c r="D6" s="259" t="str">
        <f>VLOOKUP(A6,'пр.взв.'!B6:H21,5,FALSE)</f>
        <v>МГФСО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34"/>
      <c r="B7" s="258"/>
      <c r="C7" s="260"/>
      <c r="D7" s="260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7">
        <v>5</v>
      </c>
      <c r="B8" s="471" t="e">
        <f>VLOOKUP('стартвый '!A8:A9,'пр.взв.'!B8:C23,2,FALSE)</f>
        <v>#N/A</v>
      </c>
      <c r="C8" s="473" t="e">
        <f>VLOOKUP(A8,'пр.взв.'!B6:H21,3,FALSE)</f>
        <v>#N/A</v>
      </c>
      <c r="D8" s="473" t="e">
        <f>VLOOKUP(A8,'пр.взв.'!B6:H21,5,FALSE)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34"/>
      <c r="B9" s="258"/>
      <c r="C9" s="260"/>
      <c r="D9" s="260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33">
        <v>3</v>
      </c>
      <c r="B10" s="257" t="e">
        <f>VLOOKUP('стартвый '!A10:A11,'пр.взв.'!B10:C25,2,FALSE)</f>
        <v>#N/A</v>
      </c>
      <c r="C10" s="259" t="e">
        <f>VLOOKUP(A10,'пр.взв.'!B6:H21,3,FALSE)</f>
        <v>#N/A</v>
      </c>
      <c r="D10" s="259" t="e">
        <f>VLOOKUP(A10,'пр.взв.'!B10:H25,5,FALSE)</f>
        <v>#N/A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34"/>
      <c r="B11" s="258"/>
      <c r="C11" s="260"/>
      <c r="D11" s="260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7">
        <v>7</v>
      </c>
      <c r="B12" s="471" t="e">
        <f>VLOOKUP('стартвый '!A12:A13,'пр.взв.'!B12:C27,2,FALSE)</f>
        <v>#N/A</v>
      </c>
      <c r="C12" s="473" t="e">
        <f>VLOOKUP(A12,'пр.взв.'!B6:H21,3,FALSE)</f>
        <v>#N/A</v>
      </c>
      <c r="D12" s="473" t="e">
        <f>VLOOKUP(A12,'пр.взв.'!B10:H25,5,FALSE)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4"/>
      <c r="B13" s="472"/>
      <c r="C13" s="477"/>
      <c r="D13" s="477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5.75" thickBot="1">
      <c r="A16" s="256" t="s">
        <v>1</v>
      </c>
      <c r="B16" s="256"/>
      <c r="E16" s="22"/>
      <c r="F16" s="22"/>
      <c r="G16" s="22"/>
      <c r="H16" s="22"/>
      <c r="I16" s="44"/>
      <c r="J16" s="3"/>
    </row>
    <row r="17" spans="1:10" ht="13.5" thickBot="1">
      <c r="A17" s="233">
        <v>2</v>
      </c>
      <c r="B17" s="257" t="e">
        <f>VLOOKUP(A17,'пр.взв.'!B7:H22,2,FALSE)</f>
        <v>#N/A</v>
      </c>
      <c r="C17" s="259" t="e">
        <f>VLOOKUP(A17,'пр.взв.'!B7:H22,3,FALSE)</f>
        <v>#N/A</v>
      </c>
      <c r="D17" s="259" t="e">
        <f>VLOOKUP(A17,'пр.взв.'!B7:H22,5,FALSE)</f>
        <v>#N/A</v>
      </c>
      <c r="E17" s="22"/>
      <c r="F17" s="22"/>
      <c r="G17" s="22"/>
      <c r="H17" s="22"/>
      <c r="I17" s="37"/>
      <c r="J17" s="3"/>
    </row>
    <row r="18" spans="1:10" ht="12.75">
      <c r="A18" s="234"/>
      <c r="B18" s="258"/>
      <c r="C18" s="260"/>
      <c r="D18" s="260"/>
      <c r="E18" s="24"/>
      <c r="F18" s="22"/>
      <c r="G18" s="29"/>
      <c r="H18" s="26"/>
      <c r="I18" s="37"/>
      <c r="J18" s="3"/>
    </row>
    <row r="19" spans="1:10" ht="13.5" thickBot="1">
      <c r="A19" s="267">
        <v>6</v>
      </c>
      <c r="B19" s="471" t="e">
        <f>VLOOKUP('стартвый '!A19:A20,'пр.взв.'!B7:H22,2,FALSE)</f>
        <v>#N/A</v>
      </c>
      <c r="C19" s="473" t="e">
        <f>VLOOKUP(A19,'пр.взв.'!B7:H22,3,FALSE)</f>
        <v>#N/A</v>
      </c>
      <c r="D19" s="473" t="e">
        <f>VLOOKUP(A19,'пр.взв.'!B7:H22,5,FALSE)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34"/>
      <c r="B20" s="258"/>
      <c r="C20" s="260"/>
      <c r="D20" s="260"/>
      <c r="E20" s="22"/>
      <c r="F20" s="26"/>
      <c r="G20" s="24"/>
      <c r="H20" s="30"/>
      <c r="I20" s="37"/>
      <c r="J20" s="3"/>
    </row>
    <row r="21" spans="1:8" ht="13.5" thickBot="1">
      <c r="A21" s="233">
        <v>4</v>
      </c>
      <c r="B21" s="257" t="e">
        <f>VLOOKUP('стартвый '!A21:A22,'пр.взв.'!B7:H22,2,FALSE)</f>
        <v>#N/A</v>
      </c>
      <c r="C21" s="259" t="e">
        <f>VLOOKUP(A21,'пр.взв.'!B7:H22,3,FALSE)</f>
        <v>#N/A</v>
      </c>
      <c r="D21" s="259" t="e">
        <f>VLOOKUP(A21,'пр.взв.'!B11:H26,5,FALSE)</f>
        <v>#N/A</v>
      </c>
      <c r="E21" s="22"/>
      <c r="F21" s="26"/>
      <c r="G21" s="23"/>
      <c r="H21" s="3"/>
    </row>
    <row r="22" spans="1:8" ht="12.75">
      <c r="A22" s="234"/>
      <c r="B22" s="258"/>
      <c r="C22" s="260"/>
      <c r="D22" s="260"/>
      <c r="E22" s="24"/>
      <c r="F22" s="27"/>
      <c r="G22" s="28"/>
      <c r="H22" s="26"/>
    </row>
    <row r="23" spans="1:8" ht="13.5" thickBot="1">
      <c r="A23" s="267">
        <v>8</v>
      </c>
      <c r="B23" s="471" t="e">
        <f>VLOOKUP('стартвый '!A23:A24,'пр.взв.'!B7:H22,2,FALSE)</f>
        <v>#N/A</v>
      </c>
      <c r="C23" s="473" t="e">
        <f>VLOOKUP(A23,'пр.взв.'!B7:H22,3,FALSE)</f>
        <v>#N/A</v>
      </c>
      <c r="D23" s="473" t="e">
        <f>VLOOKUP(A23,'пр.взв.'!B11:H26,5,FALSE)</f>
        <v>#N/A</v>
      </c>
      <c r="E23" s="23"/>
      <c r="F23" s="22"/>
      <c r="G23" s="29"/>
      <c r="H23" s="26"/>
    </row>
    <row r="24" spans="1:8" ht="13.5" thickBot="1">
      <c r="A24" s="274"/>
      <c r="B24" s="472"/>
      <c r="C24" s="477"/>
      <c r="D24" s="477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Н.Н.Малышев</v>
      </c>
      <c r="J38" s="3"/>
      <c r="K38" s="18" t="str">
        <f>'пр.хода'!R31</f>
        <v>/г.Дубна/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ВК</v>
      </c>
      <c r="D40" s="11"/>
      <c r="E40" s="19"/>
      <c r="F40" s="45"/>
      <c r="G40" s="2"/>
      <c r="H40" s="2"/>
      <c r="I40" s="17" t="str">
        <f>'пр.хода'!N34</f>
        <v>Д.П.Сапунов</v>
      </c>
      <c r="J40" s="3"/>
      <c r="K40" s="20" t="str">
        <f>'[1]реквизиты'!$G$9</f>
        <v>Д.П.Сапунов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2016-10-13T13:20:29Z</cp:lastPrinted>
  <dcterms:created xsi:type="dcterms:W3CDTF">1996-10-08T23:32:33Z</dcterms:created>
  <dcterms:modified xsi:type="dcterms:W3CDTF">2016-10-13T13:21:24Z</dcterms:modified>
  <cp:category/>
  <cp:version/>
  <cp:contentType/>
  <cp:contentStatus/>
</cp:coreProperties>
</file>