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.взв." sheetId="1" r:id="rId1"/>
    <sheet name="пр.хода" sheetId="2" r:id="rId2"/>
    <sheet name="круги" sheetId="3" r:id="rId3"/>
    <sheet name="за призовые месиа" sheetId="4" r:id="rId4"/>
    <sheet name="Итоговый" sheetId="5" r:id="rId5"/>
    <sheet name="наградной лист" sheetId="6" r:id="rId6"/>
    <sheet name="Ст Б" sheetId="7" r:id="rId7"/>
    <sheet name="Ст А" sheetId="8" r:id="rId8"/>
  </sheets>
  <externalReferences>
    <externalReference r:id="rId11"/>
    <externalReference r:id="rId12"/>
  </externalReferences>
  <definedNames>
    <definedName name="_xlfn.IFERROR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<sst xmlns="http://schemas.openxmlformats.org/spreadsheetml/2006/main" count="639" uniqueCount="283">
  <si>
    <t>А</t>
  </si>
  <si>
    <t>Б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</si>
  <si>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</si>
  <si>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</si>
  <si>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</si>
  <si>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</si>
  <si>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</si>
  <si>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</si>
  <si>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</si>
  <si>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>Подгруппа А</t>
  </si>
  <si>
    <t>Подгруппа Б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</si>
  <si>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</si>
  <si>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</si>
  <si>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</si>
  <si>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</si>
  <si>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</si>
  <si>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</si>
  <si>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</si>
  <si>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</si>
  <si>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</si>
  <si>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</si>
  <si>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Утешительные встречи</t>
  </si>
  <si>
    <t>Подгруппа Б1</t>
  </si>
  <si>
    <t>Подгруппа А1</t>
  </si>
  <si>
    <t>3 м</t>
  </si>
  <si>
    <t>А1</t>
  </si>
  <si>
    <t>Б1</t>
  </si>
  <si>
    <t>1 м</t>
  </si>
  <si>
    <t>ЗА 3 МЕСТО</t>
  </si>
  <si>
    <t>ВСЕРОССИЙСКАЯ ФЕДЕРАЦИЯ САМБО</t>
  </si>
  <si>
    <t xml:space="preserve">ПРОТОКОЛ ХОДА СОРЕВНОВАНИЙ   </t>
  </si>
  <si>
    <t xml:space="preserve">ИТОГОВЫЙ ПРОТОКОЛ                                                         </t>
  </si>
  <si>
    <t>Протокол взвешивания</t>
  </si>
  <si>
    <t>НАГРАДНОЙ ЛИСТ</t>
  </si>
  <si>
    <t>I м</t>
  </si>
  <si>
    <t>II м</t>
  </si>
  <si>
    <t>III м</t>
  </si>
  <si>
    <t>Награждение проводят:</t>
  </si>
  <si>
    <t>ВСТРЕЧИ ПО КРУГАМ</t>
  </si>
  <si>
    <t>A</t>
  </si>
  <si>
    <t xml:space="preserve"> (Круг)</t>
  </si>
  <si>
    <t>1/16</t>
  </si>
  <si>
    <t>№ встр</t>
  </si>
  <si>
    <t>Очки</t>
  </si>
  <si>
    <t>Результат</t>
  </si>
  <si>
    <t>№ j</t>
  </si>
  <si>
    <t>tame</t>
  </si>
  <si>
    <t>1/32</t>
  </si>
  <si>
    <t>1/8</t>
  </si>
  <si>
    <t>1/4</t>
  </si>
  <si>
    <t>B</t>
  </si>
  <si>
    <t>Полуфинал</t>
  </si>
  <si>
    <t xml:space="preserve"> (Утешительные встречи)</t>
  </si>
  <si>
    <t>(Утешительные встречи)</t>
  </si>
  <si>
    <t>3А 3 МЕСТО</t>
  </si>
  <si>
    <t xml:space="preserve"> место</t>
  </si>
  <si>
    <t>7-8</t>
  </si>
  <si>
    <t>Тренер победителя:</t>
  </si>
  <si>
    <t>гл.судья:</t>
  </si>
  <si>
    <t>гл.секретарь:</t>
  </si>
  <si>
    <t>судьи:</t>
  </si>
  <si>
    <t>врач:</t>
  </si>
  <si>
    <t>9-12</t>
  </si>
  <si>
    <t>13-16</t>
  </si>
  <si>
    <t>2 м</t>
  </si>
  <si>
    <t>37-64</t>
  </si>
  <si>
    <t>17-20</t>
  </si>
  <si>
    <t>м4</t>
  </si>
  <si>
    <t>м2</t>
  </si>
  <si>
    <t>м3</t>
  </si>
  <si>
    <t>м1</t>
  </si>
  <si>
    <t>ум</t>
  </si>
  <si>
    <t>КМС</t>
  </si>
  <si>
    <t>МС</t>
  </si>
  <si>
    <t>МСМК</t>
  </si>
  <si>
    <t>ЗМС</t>
  </si>
  <si>
    <t>№пп</t>
  </si>
  <si>
    <t>Субъект</t>
  </si>
  <si>
    <t>СМИТ</t>
  </si>
  <si>
    <t>Алтайский</t>
  </si>
  <si>
    <t>Забайкальский</t>
  </si>
  <si>
    <t>Иркутская</t>
  </si>
  <si>
    <t>Кемеровская</t>
  </si>
  <si>
    <t>Красноярский</t>
  </si>
  <si>
    <t>Новосибирская</t>
  </si>
  <si>
    <t>Омская</t>
  </si>
  <si>
    <t>Р.Алтай</t>
  </si>
  <si>
    <t>Р.Бурятия</t>
  </si>
  <si>
    <t>Р.Хакасия</t>
  </si>
  <si>
    <t>Томская</t>
  </si>
  <si>
    <t>ХМАО</t>
  </si>
  <si>
    <t>КФО</t>
  </si>
  <si>
    <t>МОС</t>
  </si>
  <si>
    <t xml:space="preserve"> </t>
  </si>
  <si>
    <t>Москва, Д</t>
  </si>
  <si>
    <t>Москва, ВС</t>
  </si>
  <si>
    <t>ПФО</t>
  </si>
  <si>
    <t>СЕВ</t>
  </si>
  <si>
    <t>Севастополь</t>
  </si>
  <si>
    <t>СЗФО</t>
  </si>
  <si>
    <t>СКФО</t>
  </si>
  <si>
    <t>СПБ</t>
  </si>
  <si>
    <t>С-Петербург, МО</t>
  </si>
  <si>
    <t>С-Петербург, Д</t>
  </si>
  <si>
    <t>Романов К.И.</t>
  </si>
  <si>
    <t>СФО</t>
  </si>
  <si>
    <t>УФО</t>
  </si>
  <si>
    <t>Стенников МГ</t>
  </si>
  <si>
    <t>БОГДАНОВ Дмитрий Александрович</t>
  </si>
  <si>
    <t>23.03.92, КМС</t>
  </si>
  <si>
    <t>ЦФО</t>
  </si>
  <si>
    <t>Ивановская, Иваново, ВС</t>
  </si>
  <si>
    <t xml:space="preserve">Изместьев </t>
  </si>
  <si>
    <t>МОТОРКИН Андрей Владимирович</t>
  </si>
  <si>
    <t>19.07.80 мсмк</t>
  </si>
  <si>
    <t>Брянская Брянск Д</t>
  </si>
  <si>
    <t xml:space="preserve">Хотмиров СЗ,  </t>
  </si>
  <si>
    <t xml:space="preserve">УЛЬЯХОВ Александр Александрович </t>
  </si>
  <si>
    <t>16.07.88 мс</t>
  </si>
  <si>
    <t>000387</t>
  </si>
  <si>
    <t>Терешок Ал.А, Терешок Ан. А</t>
  </si>
  <si>
    <t>КУРЖЕВ Али Рамазанович</t>
  </si>
  <si>
    <t>28.04.89, МСМК</t>
  </si>
  <si>
    <t>Рязанская, Рязань, Д</t>
  </si>
  <si>
    <t>Фофанов К.Н.</t>
  </si>
  <si>
    <t>ЖЕЛАГА Филипп Олегович</t>
  </si>
  <si>
    <t>15.05.92, МС</t>
  </si>
  <si>
    <t>Воронежская, Воронеж</t>
  </si>
  <si>
    <t>Гончаров С.Ю.</t>
  </si>
  <si>
    <t>ПОХОМОВ Иван Геннадьевич</t>
  </si>
  <si>
    <t>03.10.94, МС</t>
  </si>
  <si>
    <t>Ярославская, Ярославль</t>
  </si>
  <si>
    <t>Хореев Ю.А.</t>
  </si>
  <si>
    <t>КОРОЛЕВ Сергей Владимирович</t>
  </si>
  <si>
    <t>Смоленская, Гагарин</t>
  </si>
  <si>
    <t>Шкатов ВЮ</t>
  </si>
  <si>
    <t>18.08.93 мс</t>
  </si>
  <si>
    <t>Московская, Дмитров</t>
  </si>
  <si>
    <t>Храпов АВ</t>
  </si>
  <si>
    <t>09.04.90 кмс</t>
  </si>
  <si>
    <t>МАТЕВОСЯН Левон Эдуардович</t>
  </si>
  <si>
    <t>30.10.1988 мс</t>
  </si>
  <si>
    <t>ЮФО</t>
  </si>
  <si>
    <t>Краснодарский край Новоросийск, Д</t>
  </si>
  <si>
    <t>Дученко ВФ Гарькуша АВ</t>
  </si>
  <si>
    <t>МКРДУМЯН Гагик Гайкович</t>
  </si>
  <si>
    <t>05.06.93 мс</t>
  </si>
  <si>
    <t>Краснодарский край Армавир, Д</t>
  </si>
  <si>
    <t>Погосян ВГ</t>
  </si>
  <si>
    <t>КИЯТОВ Заур Шумафович</t>
  </si>
  <si>
    <t>16.06.92, КМС</t>
  </si>
  <si>
    <t>Краснодарский, Лабинск, Д</t>
  </si>
  <si>
    <t>Нагоев РМ</t>
  </si>
  <si>
    <t>РЫБИН  Дмитрий Сергеевич</t>
  </si>
  <si>
    <t>ФЕТИСОВ Алексей Игоревич</t>
  </si>
  <si>
    <t>26.04.91 мс</t>
  </si>
  <si>
    <t>Р. Крым, Евпатория</t>
  </si>
  <si>
    <t>Ковригина МС</t>
  </si>
  <si>
    <t>ДЕМЕНКОВ Александр Михайлович</t>
  </si>
  <si>
    <t>14.09.97, КМС</t>
  </si>
  <si>
    <t>Киселёв С.Н., Фунтиков П.В.</t>
  </si>
  <si>
    <t>КУЧУМОВ Александр Николаевич</t>
  </si>
  <si>
    <t>06.11.90, мсмк</t>
  </si>
  <si>
    <t>г. Москва, Д</t>
  </si>
  <si>
    <t xml:space="preserve">Тиновицкий К.Г., Емельянова И.В. </t>
  </si>
  <si>
    <t>ХОРПЯКОВ Олег Вячеславович</t>
  </si>
  <si>
    <t>28.02.77, МСМК</t>
  </si>
  <si>
    <t>Жиляев Д.С., Бобылев А.Б.</t>
  </si>
  <si>
    <t>ШИРЯЕВ Максим Сергеевич</t>
  </si>
  <si>
    <t>18.03.88, МСМК</t>
  </si>
  <si>
    <t>Сейтайбдаев А.В., Юхарев С.С.</t>
  </si>
  <si>
    <t>ЧЕРНЫШОВ Антон Геннадьевич</t>
  </si>
  <si>
    <t>15.11.92, МС</t>
  </si>
  <si>
    <t>Москва, ЛОК</t>
  </si>
  <si>
    <t>Рощупкин Н.А.</t>
  </si>
  <si>
    <t>Москва</t>
  </si>
  <si>
    <t>Журавицкий С.В., Журавицкий А.В.</t>
  </si>
  <si>
    <t>ГОНЧАРУК Роман Михайлович</t>
  </si>
  <si>
    <t>24.06.93, МС</t>
  </si>
  <si>
    <t>МЕРЕТУКОВ Заур Довлетбиевич</t>
  </si>
  <si>
    <t>08.10.93, КМС</t>
  </si>
  <si>
    <t>Матюхин Ю.И.</t>
  </si>
  <si>
    <t>31.07.80 мс</t>
  </si>
  <si>
    <t>Башкортостан Уфа Д</t>
  </si>
  <si>
    <t>Кобиашвили СР, Калюжный СИ</t>
  </si>
  <si>
    <t>ТУНАКОВ Александр Сергеевич</t>
  </si>
  <si>
    <t>25.08.94, МС</t>
  </si>
  <si>
    <t>Нижегородская, Н.Новгород, ПР</t>
  </si>
  <si>
    <t>Мокеичев А.В., Симанов М.В.</t>
  </si>
  <si>
    <t>ЮСУФОВ Гаджи Чингизович</t>
  </si>
  <si>
    <t>08.05.90, МС</t>
  </si>
  <si>
    <t>Пермский, Пермь, Д</t>
  </si>
  <si>
    <t>Забалуев А.И., Пенжалиев А.К.</t>
  </si>
  <si>
    <t>САЛАМАХА Николай Анатольевич</t>
  </si>
  <si>
    <t>02.01.1991, кмс</t>
  </si>
  <si>
    <t>Рухадзе З.А.</t>
  </si>
  <si>
    <t>27.08.86 мс</t>
  </si>
  <si>
    <t xml:space="preserve"> Коми Сыктывкар МО</t>
  </si>
  <si>
    <t xml:space="preserve">Данилов АК  </t>
  </si>
  <si>
    <t>КУНДУКОВ Роман Николаевич</t>
  </si>
  <si>
    <t>11.11.93, кмс</t>
  </si>
  <si>
    <t>Ленинградская об., Выборг МО</t>
  </si>
  <si>
    <t>Голубев А.Б.</t>
  </si>
  <si>
    <t>БАЙРАМУКОВ Таулан Хасанович</t>
  </si>
  <si>
    <t>09.01.1991, МС</t>
  </si>
  <si>
    <t>КЧР, ВС</t>
  </si>
  <si>
    <t>-</t>
  </si>
  <si>
    <t>Пчелкин В.И.</t>
  </si>
  <si>
    <t>ТАРАСЕНКО Владимир Владимирович</t>
  </si>
  <si>
    <t>25.01.91, МС</t>
  </si>
  <si>
    <t>Ставропольский, Михайловск, Д</t>
  </si>
  <si>
    <t>Забирко А.В., Волобуев В.В.</t>
  </si>
  <si>
    <t>ТАМБИЕВ Аслангери Артурович</t>
  </si>
  <si>
    <t>11.07.92, КМС</t>
  </si>
  <si>
    <t>Болов В.В.. Гуртуев У.М.</t>
  </si>
  <si>
    <t>ГЛАДКОВ Алексей Иванович</t>
  </si>
  <si>
    <t>24.11.85, МС</t>
  </si>
  <si>
    <t>КОМЛЕВ Роман Олегович</t>
  </si>
  <si>
    <t>15.09.89, МС</t>
  </si>
  <si>
    <t>Кемеровская, Новокузнецк, МО</t>
  </si>
  <si>
    <t xml:space="preserve">Параскивопуло И.А. </t>
  </si>
  <si>
    <t>МИХАЛЬЧЕНКО Роман Александрович</t>
  </si>
  <si>
    <t>27.06.87 мсмк</t>
  </si>
  <si>
    <t>Курганская Курган МО</t>
  </si>
  <si>
    <t>ТАЧКОВ Иван Дмитриевич</t>
  </si>
  <si>
    <t>25.03.97 мс</t>
  </si>
  <si>
    <t>Курганская, Курган</t>
  </si>
  <si>
    <t>Бородин ОБ, Воронов ВВ</t>
  </si>
  <si>
    <t>ХАПЦЕВ Артур Русланович</t>
  </si>
  <si>
    <t>15.01.88, МС</t>
  </si>
  <si>
    <t>Тюменская, Тюмень, Д</t>
  </si>
  <si>
    <t>Иващенко В.С.</t>
  </si>
  <si>
    <t>КУЛИКОВ Александр Сергеевич</t>
  </si>
  <si>
    <t>11.11.790, МС</t>
  </si>
  <si>
    <t>Свердловская, Екатеринбург, ПР</t>
  </si>
  <si>
    <t>Козлов А.А.</t>
  </si>
  <si>
    <t>АЛДУШИН Александр Игоревич</t>
  </si>
  <si>
    <t>04.10.93, МС</t>
  </si>
  <si>
    <t>Свердловская, Н.Тагил</t>
  </si>
  <si>
    <t>Перминов И.Р.</t>
  </si>
  <si>
    <t>ГИБАДУЛЛИН Игорь Витальевич</t>
  </si>
  <si>
    <t>27.03.84, МСМК</t>
  </si>
  <si>
    <t>Козлов А.А., Гибадуллин М.Т.</t>
  </si>
  <si>
    <t>СТАРКОВ Михаил Александрович</t>
  </si>
  <si>
    <t>13.07.77, МСМК</t>
  </si>
  <si>
    <t>Свердловская, Екатеринбург, Д</t>
  </si>
  <si>
    <t>ГЕНИЯТОВ Глеб Эдуардович</t>
  </si>
  <si>
    <t>29.04.85, МС</t>
  </si>
  <si>
    <t>08.12.89, МС</t>
  </si>
  <si>
    <t>Тверская, Тверь, Д</t>
  </si>
  <si>
    <t>Каверзин П.И., Павлов В.В.</t>
  </si>
  <si>
    <t>ОСИПЕНКО Артем Иванович</t>
  </si>
  <si>
    <t>27.05.88 змс</t>
  </si>
  <si>
    <t>Брянская Брянск ВС</t>
  </si>
  <si>
    <t>Портнов СВ, Зубов РП</t>
  </si>
  <si>
    <t>16.06.94 мс</t>
  </si>
  <si>
    <t>Московская, Мытищи</t>
  </si>
  <si>
    <t>Потапов АВ, Борисов ОЮ</t>
  </si>
  <si>
    <t>САРИБЕКЯН Павел Андреевич</t>
  </si>
  <si>
    <t>13.07.92, МС</t>
  </si>
  <si>
    <t>Краснодарский край Курганинск, Д</t>
  </si>
  <si>
    <t xml:space="preserve">Потапов ИС, Нефедов НИ </t>
  </si>
  <si>
    <t>АБУЛАДЗЕ Паата Венорович</t>
  </si>
  <si>
    <t>15.06.91, КМС</t>
  </si>
  <si>
    <t>Краснодарский, Краснодар Д</t>
  </si>
  <si>
    <t>Алексанян Г.М.</t>
  </si>
  <si>
    <t>МГОЕВ Джамал Алиевич</t>
  </si>
  <si>
    <t>23.07.95, КМС</t>
  </si>
  <si>
    <t>Евгеньев Э.В., Коновалов А.В.</t>
  </si>
  <si>
    <t>в.к. св 100 кг.</t>
  </si>
  <si>
    <t>ЛУКЬЯНОВ Святослав Сергеевич</t>
  </si>
  <si>
    <t>АРСЛАНОВ Рустем Разитович</t>
  </si>
  <si>
    <t>ДЬЯКОНОВ Иван Викторович</t>
  </si>
  <si>
    <t>БОБИКОВ Роман Николаевич</t>
  </si>
  <si>
    <t>МЕДВЕДЕВ Виктор Алексеевич</t>
  </si>
  <si>
    <t>33 участника</t>
  </si>
  <si>
    <t>4:0</t>
  </si>
  <si>
    <t>3:1</t>
  </si>
  <si>
    <t>3:0</t>
  </si>
  <si>
    <t>2:0</t>
  </si>
  <si>
    <t>снят врачем</t>
  </si>
  <si>
    <t>21-32</t>
  </si>
  <si>
    <t>33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</si>
</sst>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79">
    <font>
      <sz val="10"/>
      <name val="Arial"/>
      <family val="0"/>
    </font>
    <font>
      <sz val="12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sz val="14"/>
      <color indexed="10"/>
      <name val="CyrillicOld"/>
      <family val="0"/>
    </font>
    <font>
      <b/>
      <i/>
      <sz val="12"/>
      <name val="Arial"/>
      <family val="2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sz val="10"/>
      <color indexed="8"/>
      <name val="Arial Narrow"/>
      <family val="2"/>
    </font>
    <font>
      <sz val="12"/>
      <color indexed="10"/>
      <name val="CyrillicOld"/>
      <family val="0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 Cyr"/>
      <family val="0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10"/>
      <color indexed="10"/>
      <name val="Arial Narrow"/>
      <family val="2"/>
    </font>
    <font>
      <b/>
      <sz val="12"/>
      <color indexed="8"/>
      <name val="Arial"/>
      <family val="2"/>
    </font>
    <font>
      <sz val="9"/>
      <name val="Arial Narrow"/>
      <family val="2"/>
    </font>
    <font>
      <b/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9"/>
      <name val="Arial Narrow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2"/>
      <color theme="0"/>
      <name val="Arial Narrow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theme="0"/>
      <name val="Arial Narrow"/>
      <family val="2"/>
    </font>
    <font>
      <sz val="10"/>
      <color theme="0"/>
      <name val="Arial Narrow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</fills>
  <borders count="9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629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0" fillId="0" borderId="18" xfId="0" applyBorder="1" applyAlignment="1">
      <alignment/>
    </xf>
    <xf numFmtId="0" fontId="6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0" fontId="7" fillId="0" borderId="0" xfId="0" applyFont="1" applyAlignment="1">
      <alignment/>
    </xf>
    <xf numFmtId="0" fontId="6" fillId="0" borderId="0" xfId="42" applyFont="1" applyFill="1" applyBorder="1" applyAlignment="1" applyProtection="1">
      <alignment horizontal="left"/>
      <protection/>
    </xf>
    <xf numFmtId="0" fontId="6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4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3" fillId="0" borderId="0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6" fillId="0" borderId="0" xfId="42" applyFont="1" applyBorder="1" applyAlignment="1" applyProtection="1">
      <alignment horizontal="center"/>
      <protection/>
    </xf>
    <xf numFmtId="0" fontId="8" fillId="0" borderId="18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11" fillId="0" borderId="0" xfId="0" applyFont="1" applyAlignment="1">
      <alignment/>
    </xf>
    <xf numFmtId="0" fontId="6" fillId="0" borderId="0" xfId="42" applyFont="1" applyFill="1" applyBorder="1" applyAlignment="1" applyProtection="1">
      <alignment vertical="center" wrapText="1"/>
      <protection/>
    </xf>
    <xf numFmtId="0" fontId="6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20" xfId="0" applyNumberFormat="1" applyFont="1" applyBorder="1" applyAlignment="1">
      <alignment/>
    </xf>
    <xf numFmtId="0" fontId="7" fillId="0" borderId="0" xfId="42" applyFont="1" applyAlignment="1" applyProtection="1">
      <alignment/>
      <protection/>
    </xf>
    <xf numFmtId="0" fontId="0" fillId="0" borderId="0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2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Alignment="1">
      <alignment horizontal="right"/>
    </xf>
    <xf numFmtId="0" fontId="19" fillId="0" borderId="18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7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8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0" fontId="0" fillId="0" borderId="17" xfId="0" applyNumberFormat="1" applyFont="1" applyBorder="1" applyAlignment="1">
      <alignment/>
    </xf>
    <xf numFmtId="0" fontId="7" fillId="0" borderId="0" xfId="0" applyNumberFormat="1" applyFont="1" applyAlignment="1">
      <alignment/>
    </xf>
    <xf numFmtId="0" fontId="7" fillId="0" borderId="0" xfId="42" applyNumberFormat="1" applyFont="1" applyAlignment="1" applyProtection="1">
      <alignment/>
      <protection/>
    </xf>
    <xf numFmtId="0" fontId="7" fillId="0" borderId="0" xfId="0" applyNumberFormat="1" applyFont="1" applyBorder="1" applyAlignment="1">
      <alignment/>
    </xf>
    <xf numFmtId="0" fontId="15" fillId="0" borderId="0" xfId="42" applyNumberFormat="1" applyFont="1" applyAlignment="1" applyProtection="1">
      <alignment/>
      <protection/>
    </xf>
    <xf numFmtId="0" fontId="15" fillId="0" borderId="0" xfId="42" applyNumberFormat="1" applyFont="1" applyBorder="1" applyAlignment="1" applyProtection="1">
      <alignment/>
      <protection/>
    </xf>
    <xf numFmtId="49" fontId="1" fillId="0" borderId="22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4" fillId="0" borderId="22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42" applyFont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7" fillId="0" borderId="0" xfId="42" applyNumberFormat="1" applyFont="1" applyBorder="1" applyAlignment="1" applyProtection="1">
      <alignment horizontal="center"/>
      <protection/>
    </xf>
    <xf numFmtId="0" fontId="7" fillId="0" borderId="14" xfId="0" applyNumberFormat="1" applyFont="1" applyBorder="1" applyAlignment="1">
      <alignment/>
    </xf>
    <xf numFmtId="0" fontId="0" fillId="0" borderId="0" xfId="0" applyNumberFormat="1" applyAlignment="1">
      <alignment horizontal="right"/>
    </xf>
    <xf numFmtId="0" fontId="0" fillId="0" borderId="23" xfId="0" applyBorder="1" applyAlignment="1">
      <alignment/>
    </xf>
    <xf numFmtId="0" fontId="0" fillId="0" borderId="23" xfId="0" applyFont="1" applyBorder="1" applyAlignment="1">
      <alignment/>
    </xf>
    <xf numFmtId="49" fontId="4" fillId="0" borderId="22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0" fillId="0" borderId="0" xfId="0" applyNumberFormat="1" applyFont="1" applyAlignment="1" applyProtection="1">
      <alignment/>
      <protection locked="0"/>
    </xf>
    <xf numFmtId="0" fontId="6" fillId="0" borderId="0" xfId="0" applyNumberFormat="1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18" fillId="0" borderId="0" xfId="0" applyNumberFormat="1" applyFont="1" applyAlignment="1" applyProtection="1">
      <alignment vertical="center"/>
      <protection locked="0"/>
    </xf>
    <xf numFmtId="0" fontId="6" fillId="0" borderId="0" xfId="42" applyNumberFormat="1" applyFont="1" applyFill="1" applyBorder="1" applyAlignment="1" applyProtection="1">
      <alignment vertical="center" wrapText="1"/>
      <protection locked="0"/>
    </xf>
    <xf numFmtId="0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0" xfId="0" applyNumberFormat="1" applyAlignment="1" applyProtection="1">
      <alignment/>
      <protection locked="0"/>
    </xf>
    <xf numFmtId="0" fontId="7" fillId="0" borderId="0" xfId="0" applyNumberFormat="1" applyFont="1" applyBorder="1" applyAlignment="1" applyProtection="1">
      <alignment/>
      <protection locked="0"/>
    </xf>
    <xf numFmtId="0" fontId="6" fillId="0" borderId="0" xfId="0" applyNumberFormat="1" applyFont="1" applyAlignment="1" applyProtection="1">
      <alignment/>
      <protection locked="0"/>
    </xf>
    <xf numFmtId="0" fontId="0" fillId="0" borderId="0" xfId="42" applyNumberFormat="1" applyFont="1" applyAlignment="1" applyProtection="1">
      <alignment vertical="center" wrapText="1"/>
      <protection locked="0"/>
    </xf>
    <xf numFmtId="0" fontId="0" fillId="0" borderId="0" xfId="0" applyNumberFormat="1" applyFont="1" applyAlignment="1" applyProtection="1">
      <alignment/>
      <protection locked="0"/>
    </xf>
    <xf numFmtId="0" fontId="1" fillId="0" borderId="0" xfId="0" applyNumberFormat="1" applyFont="1" applyBorder="1" applyAlignment="1" applyProtection="1">
      <alignment vertical="center" wrapText="1"/>
      <protection locked="0"/>
    </xf>
    <xf numFmtId="0" fontId="0" fillId="0" borderId="0" xfId="0" applyNumberFormat="1" applyFont="1" applyAlignment="1" applyProtection="1">
      <alignment/>
      <protection locked="0"/>
    </xf>
    <xf numFmtId="0" fontId="0" fillId="0" borderId="0" xfId="0" applyNumberFormat="1" applyFont="1" applyAlignment="1" applyProtection="1">
      <alignment/>
      <protection locked="0"/>
    </xf>
    <xf numFmtId="0" fontId="11" fillId="0" borderId="0" xfId="0" applyNumberFormat="1" applyFont="1" applyAlignment="1" applyProtection="1">
      <alignment/>
      <protection locked="0"/>
    </xf>
    <xf numFmtId="0" fontId="6" fillId="0" borderId="0" xfId="42" applyNumberFormat="1" applyFont="1" applyBorder="1" applyAlignment="1" applyProtection="1">
      <alignment/>
      <protection locked="0"/>
    </xf>
    <xf numFmtId="0" fontId="6" fillId="0" borderId="0" xfId="0" applyNumberFormat="1" applyFont="1" applyBorder="1" applyAlignment="1" applyProtection="1">
      <alignment/>
      <protection locked="0"/>
    </xf>
    <xf numFmtId="0" fontId="7" fillId="0" borderId="0" xfId="0" applyNumberFormat="1" applyFont="1" applyAlignment="1" applyProtection="1">
      <alignment/>
      <protection locked="0"/>
    </xf>
    <xf numFmtId="0" fontId="7" fillId="0" borderId="0" xfId="0" applyNumberFormat="1" applyFont="1" applyBorder="1" applyAlignment="1" applyProtection="1">
      <alignment/>
      <protection locked="0"/>
    </xf>
    <xf numFmtId="0" fontId="0" fillId="0" borderId="0" xfId="42" applyNumberFormat="1" applyFont="1" applyBorder="1" applyAlignment="1" applyProtection="1">
      <alignment/>
      <protection locked="0"/>
    </xf>
    <xf numFmtId="0" fontId="0" fillId="0" borderId="0" xfId="0" applyNumberFormat="1" applyFont="1" applyBorder="1" applyAlignment="1" applyProtection="1">
      <alignment/>
      <protection locked="0"/>
    </xf>
    <xf numFmtId="0" fontId="3" fillId="0" borderId="24" xfId="0" applyNumberFormat="1" applyFont="1" applyBorder="1" applyAlignment="1" applyProtection="1">
      <alignment horizontal="center" vertical="center" wrapText="1"/>
      <protection locked="0"/>
    </xf>
    <xf numFmtId="0" fontId="0" fillId="0" borderId="25" xfId="0" applyBorder="1" applyAlignment="1" applyProtection="1">
      <alignment/>
      <protection locked="0"/>
    </xf>
    <xf numFmtId="49" fontId="7" fillId="0" borderId="26" xfId="0" applyNumberFormat="1" applyFont="1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0" fillId="0" borderId="0" xfId="0" applyNumberFormat="1" applyFont="1" applyBorder="1" applyAlignment="1" applyProtection="1">
      <alignment/>
      <protection locked="0"/>
    </xf>
    <xf numFmtId="0" fontId="3" fillId="0" borderId="0" xfId="0" applyNumberFormat="1" applyFont="1" applyBorder="1" applyAlignment="1" applyProtection="1">
      <alignment horizontal="center"/>
      <protection locked="0"/>
    </xf>
    <xf numFmtId="0" fontId="0" fillId="0" borderId="20" xfId="0" applyNumberFormat="1" applyFont="1" applyBorder="1" applyAlignment="1" applyProtection="1">
      <alignment/>
      <protection locked="0"/>
    </xf>
    <xf numFmtId="0" fontId="3" fillId="0" borderId="28" xfId="0" applyNumberFormat="1" applyFont="1" applyBorder="1" applyAlignment="1" applyProtection="1">
      <alignment horizontal="center" vertical="center" wrapText="1"/>
      <protection locked="0"/>
    </xf>
    <xf numFmtId="49" fontId="7" fillId="0" borderId="29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NumberFormat="1" applyFont="1" applyAlignment="1" applyProtection="1">
      <alignment/>
      <protection locked="0"/>
    </xf>
    <xf numFmtId="0" fontId="2" fillId="0" borderId="0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NumberFormat="1" applyFont="1" applyBorder="1" applyAlignment="1" applyProtection="1">
      <alignment/>
      <protection locked="0"/>
    </xf>
    <xf numFmtId="0" fontId="0" fillId="0" borderId="0" xfId="0" applyNumberFormat="1" applyFont="1" applyBorder="1" applyAlignment="1" applyProtection="1">
      <alignment horizontal="center"/>
      <protection locked="0"/>
    </xf>
    <xf numFmtId="0" fontId="6" fillId="0" borderId="0" xfId="0" applyNumberFormat="1" applyFont="1" applyAlignment="1" applyProtection="1">
      <alignment/>
      <protection locked="0"/>
    </xf>
    <xf numFmtId="0" fontId="2" fillId="0" borderId="13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NumberFormat="1" applyFont="1" applyBorder="1" applyAlignment="1" applyProtection="1">
      <alignment horizontal="center"/>
      <protection locked="0"/>
    </xf>
    <xf numFmtId="0" fontId="3" fillId="0" borderId="0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NumberFormat="1" applyFont="1" applyBorder="1" applyAlignment="1" applyProtection="1">
      <alignment horizontal="center"/>
      <protection locked="0"/>
    </xf>
    <xf numFmtId="0" fontId="7" fillId="0" borderId="18" xfId="0" applyNumberFormat="1" applyFont="1" applyBorder="1" applyAlignment="1" applyProtection="1">
      <alignment horizontal="center"/>
      <protection locked="0"/>
    </xf>
    <xf numFmtId="0" fontId="2" fillId="0" borderId="16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NumberFormat="1" applyFont="1" applyBorder="1" applyAlignment="1" applyProtection="1">
      <alignment horizontal="center"/>
      <protection locked="0"/>
    </xf>
    <xf numFmtId="0" fontId="0" fillId="0" borderId="30" xfId="0" applyNumberFormat="1" applyFont="1" applyBorder="1" applyAlignment="1" applyProtection="1">
      <alignment/>
      <protection locked="0"/>
    </xf>
    <xf numFmtId="0" fontId="8" fillId="0" borderId="0" xfId="0" applyNumberFormat="1" applyFont="1" applyBorder="1" applyAlignment="1" applyProtection="1">
      <alignment horizontal="center"/>
      <protection locked="0"/>
    </xf>
    <xf numFmtId="0" fontId="6" fillId="0" borderId="14" xfId="0" applyNumberFormat="1" applyFont="1" applyBorder="1" applyAlignment="1" applyProtection="1">
      <alignment horizontal="center"/>
      <protection locked="0"/>
    </xf>
    <xf numFmtId="0" fontId="7" fillId="0" borderId="14" xfId="0" applyNumberFormat="1" applyFont="1" applyBorder="1" applyAlignment="1" applyProtection="1">
      <alignment horizontal="center"/>
      <protection locked="0"/>
    </xf>
    <xf numFmtId="0" fontId="6" fillId="0" borderId="16" xfId="0" applyNumberFormat="1" applyFont="1" applyBorder="1" applyAlignment="1" applyProtection="1">
      <alignment horizontal="center"/>
      <protection locked="0"/>
    </xf>
    <xf numFmtId="0" fontId="6" fillId="0" borderId="20" xfId="0" applyNumberFormat="1" applyFont="1" applyBorder="1" applyAlignment="1" applyProtection="1">
      <alignment/>
      <protection locked="0"/>
    </xf>
    <xf numFmtId="0" fontId="7" fillId="0" borderId="13" xfId="0" applyNumberFormat="1" applyFont="1" applyBorder="1" applyAlignment="1" applyProtection="1">
      <alignment horizontal="center"/>
      <protection locked="0"/>
    </xf>
    <xf numFmtId="0" fontId="0" fillId="0" borderId="14" xfId="0" applyNumberFormat="1" applyFont="1" applyBorder="1" applyAlignment="1" applyProtection="1">
      <alignment horizontal="center"/>
      <protection locked="0"/>
    </xf>
    <xf numFmtId="0" fontId="6" fillId="0" borderId="20" xfId="0" applyNumberFormat="1" applyFont="1" applyBorder="1" applyAlignment="1" applyProtection="1">
      <alignment horizontal="center"/>
      <protection locked="0"/>
    </xf>
    <xf numFmtId="0" fontId="0" fillId="0" borderId="31" xfId="0" applyNumberFormat="1" applyFont="1" applyBorder="1" applyAlignment="1" applyProtection="1">
      <alignment/>
      <protection locked="0"/>
    </xf>
    <xf numFmtId="0" fontId="7" fillId="0" borderId="26" xfId="0" applyNumberFormat="1" applyFont="1" applyBorder="1" applyAlignment="1" applyProtection="1">
      <alignment horizontal="center" vertical="center" wrapText="1"/>
      <protection locked="0"/>
    </xf>
    <xf numFmtId="0" fontId="6" fillId="0" borderId="24" xfId="0" applyNumberFormat="1" applyFont="1" applyBorder="1" applyAlignment="1" applyProtection="1">
      <alignment horizontal="center" vertical="top"/>
      <protection locked="0"/>
    </xf>
    <xf numFmtId="0" fontId="0" fillId="0" borderId="32" xfId="0" applyNumberFormat="1" applyFont="1" applyBorder="1" applyAlignment="1" applyProtection="1">
      <alignment horizontal="center"/>
      <protection locked="0"/>
    </xf>
    <xf numFmtId="49" fontId="7" fillId="0" borderId="26" xfId="0" applyNumberFormat="1" applyFont="1" applyBorder="1" applyAlignment="1" applyProtection="1">
      <alignment horizontal="center"/>
      <protection locked="0"/>
    </xf>
    <xf numFmtId="0" fontId="6" fillId="0" borderId="24" xfId="0" applyNumberFormat="1" applyFont="1" applyBorder="1" applyAlignment="1" applyProtection="1">
      <alignment horizontal="center"/>
      <protection locked="0"/>
    </xf>
    <xf numFmtId="0" fontId="0" fillId="0" borderId="20" xfId="0" applyNumberFormat="1" applyFont="1" applyBorder="1" applyAlignment="1" applyProtection="1">
      <alignment horizontal="right"/>
      <protection locked="0"/>
    </xf>
    <xf numFmtId="0" fontId="0" fillId="0" borderId="0" xfId="0" applyNumberFormat="1" applyFont="1" applyBorder="1" applyAlignment="1" applyProtection="1">
      <alignment/>
      <protection hidden="1"/>
    </xf>
    <xf numFmtId="0" fontId="6" fillId="0" borderId="0" xfId="0" applyNumberFormat="1" applyFont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34" borderId="0" xfId="0" applyFill="1" applyAlignment="1" applyProtection="1">
      <alignment/>
      <protection hidden="1"/>
    </xf>
    <xf numFmtId="0" fontId="0" fillId="35" borderId="0" xfId="0" applyFill="1" applyAlignment="1" applyProtection="1">
      <alignment/>
      <protection hidden="1"/>
    </xf>
    <xf numFmtId="0" fontId="0" fillId="35" borderId="0" xfId="0" applyFont="1" applyFill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14" fillId="0" borderId="0" xfId="0" applyFont="1" applyBorder="1" applyAlignment="1">
      <alignment vertical="center" wrapText="1"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33" xfId="0" applyBorder="1" applyAlignment="1" applyProtection="1">
      <alignment/>
      <protection hidden="1" locked="0"/>
    </xf>
    <xf numFmtId="0" fontId="0" fillId="0" borderId="33" xfId="0" applyFont="1" applyBorder="1" applyAlignment="1" applyProtection="1">
      <alignment/>
      <protection hidden="1" locked="0"/>
    </xf>
    <xf numFmtId="0" fontId="0" fillId="0" borderId="21" xfId="0" applyFont="1" applyBorder="1" applyAlignment="1" applyProtection="1">
      <alignment/>
      <protection hidden="1" locked="0"/>
    </xf>
    <xf numFmtId="0" fontId="0" fillId="0" borderId="0" xfId="0" applyAlignment="1" applyProtection="1">
      <alignment/>
      <protection hidden="1" locked="0"/>
    </xf>
    <xf numFmtId="0" fontId="0" fillId="0" borderId="33" xfId="0" applyBorder="1" applyAlignment="1" applyProtection="1">
      <alignment/>
      <protection hidden="1"/>
    </xf>
    <xf numFmtId="0" fontId="0" fillId="0" borderId="33" xfId="0" applyFont="1" applyBorder="1" applyAlignment="1" applyProtection="1">
      <alignment/>
      <protection hidden="1"/>
    </xf>
    <xf numFmtId="0" fontId="73" fillId="35" borderId="0" xfId="0" applyFont="1" applyFill="1" applyAlignment="1" applyProtection="1">
      <alignment/>
      <protection hidden="1"/>
    </xf>
    <xf numFmtId="0" fontId="0" fillId="35" borderId="33" xfId="0" applyFont="1" applyFill="1" applyBorder="1" applyAlignment="1" applyProtection="1">
      <alignment/>
      <protection hidden="1" locked="0"/>
    </xf>
    <xf numFmtId="0" fontId="0" fillId="35" borderId="33" xfId="59" applyNumberFormat="1" applyFont="1" applyFill="1" applyBorder="1" applyAlignment="1" applyProtection="1">
      <alignment/>
      <protection hidden="1" locked="0"/>
    </xf>
    <xf numFmtId="0" fontId="0" fillId="35" borderId="0" xfId="0" applyFont="1" applyFill="1" applyAlignment="1" applyProtection="1">
      <alignment/>
      <protection hidden="1" locked="0"/>
    </xf>
    <xf numFmtId="0" fontId="0" fillId="0" borderId="33" xfId="0" applyFont="1" applyFill="1" applyBorder="1" applyAlignment="1" applyProtection="1">
      <alignment/>
      <protection hidden="1"/>
    </xf>
    <xf numFmtId="0" fontId="0" fillId="35" borderId="0" xfId="0" applyFill="1" applyAlignment="1" applyProtection="1">
      <alignment/>
      <protection hidden="1" locked="0"/>
    </xf>
    <xf numFmtId="0" fontId="0" fillId="35" borderId="34" xfId="0" applyFill="1" applyBorder="1" applyAlignment="1" applyProtection="1">
      <alignment/>
      <protection hidden="1" locked="0"/>
    </xf>
    <xf numFmtId="0" fontId="0" fillId="0" borderId="35" xfId="0" applyBorder="1" applyAlignment="1" applyProtection="1">
      <alignment/>
      <protection hidden="1"/>
    </xf>
    <xf numFmtId="0" fontId="0" fillId="0" borderId="36" xfId="0" applyBorder="1" applyAlignment="1" applyProtection="1">
      <alignment/>
      <protection hidden="1"/>
    </xf>
    <xf numFmtId="0" fontId="0" fillId="0" borderId="20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 locked="0"/>
    </xf>
    <xf numFmtId="0" fontId="0" fillId="35" borderId="0" xfId="0" applyFont="1" applyFill="1" applyBorder="1" applyAlignment="1" applyProtection="1">
      <alignment/>
      <protection hidden="1" locked="0"/>
    </xf>
    <xf numFmtId="0" fontId="0" fillId="35" borderId="0" xfId="59" applyNumberFormat="1" applyFont="1" applyFill="1" applyBorder="1" applyAlignment="1" applyProtection="1">
      <alignment/>
      <protection hidden="1" locked="0"/>
    </xf>
    <xf numFmtId="0" fontId="0" fillId="0" borderId="20" xfId="0" applyBorder="1" applyAlignment="1">
      <alignment/>
    </xf>
    <xf numFmtId="0" fontId="3" fillId="0" borderId="37" xfId="0" applyFont="1" applyFill="1" applyBorder="1" applyAlignment="1" applyProtection="1">
      <alignment horizontal="center" vertical="center"/>
      <protection locked="0"/>
    </xf>
    <xf numFmtId="0" fontId="3" fillId="0" borderId="38" xfId="0" applyFont="1" applyFill="1" applyBorder="1" applyAlignment="1" applyProtection="1">
      <alignment horizontal="center" vertical="center"/>
      <protection locked="0"/>
    </xf>
    <xf numFmtId="0" fontId="3" fillId="0" borderId="39" xfId="0" applyFont="1" applyFill="1" applyBorder="1" applyAlignment="1" applyProtection="1">
      <alignment horizontal="center" vertical="center"/>
      <protection locked="0"/>
    </xf>
    <xf numFmtId="0" fontId="2" fillId="0" borderId="40" xfId="0" applyFont="1" applyBorder="1" applyAlignment="1" applyProtection="1">
      <alignment horizontal="center"/>
      <protection hidden="1" locked="0"/>
    </xf>
    <xf numFmtId="0" fontId="2" fillId="0" borderId="41" xfId="0" applyFont="1" applyBorder="1" applyAlignment="1">
      <alignment horizontal="left" vertical="center"/>
    </xf>
    <xf numFmtId="0" fontId="2" fillId="0" borderId="15" xfId="0" applyNumberFormat="1" applyFont="1" applyFill="1" applyBorder="1" applyAlignment="1" applyProtection="1">
      <alignment horizontal="center"/>
      <protection hidden="1" locked="0"/>
    </xf>
    <xf numFmtId="0" fontId="2" fillId="35" borderId="15" xfId="0" applyNumberFormat="1" applyFont="1" applyFill="1" applyBorder="1" applyAlignment="1" applyProtection="1">
      <alignment horizontal="center"/>
      <protection hidden="1" locked="0"/>
    </xf>
    <xf numFmtId="0" fontId="2" fillId="0" borderId="42" xfId="0" applyFont="1" applyBorder="1" applyAlignment="1" applyProtection="1">
      <alignment horizontal="center"/>
      <protection hidden="1" locked="0"/>
    </xf>
    <xf numFmtId="0" fontId="2" fillId="0" borderId="43" xfId="0" applyFont="1" applyBorder="1" applyAlignment="1" applyProtection="1">
      <alignment horizontal="center"/>
      <protection hidden="1" locked="0"/>
    </xf>
    <xf numFmtId="0" fontId="74" fillId="0" borderId="43" xfId="0" applyFont="1" applyBorder="1" applyAlignment="1" applyProtection="1">
      <alignment horizontal="center"/>
      <protection hidden="1" locked="0"/>
    </xf>
    <xf numFmtId="0" fontId="74" fillId="0" borderId="15" xfId="0" applyNumberFormat="1" applyFont="1" applyFill="1" applyBorder="1" applyAlignment="1" applyProtection="1">
      <alignment horizontal="center"/>
      <protection hidden="1" locked="0"/>
    </xf>
    <xf numFmtId="0" fontId="74" fillId="35" borderId="15" xfId="0" applyNumberFormat="1" applyFont="1" applyFill="1" applyBorder="1" applyAlignment="1" applyProtection="1">
      <alignment horizontal="center"/>
      <protection hidden="1" locked="0"/>
    </xf>
    <xf numFmtId="0" fontId="74" fillId="0" borderId="42" xfId="0" applyFont="1" applyBorder="1" applyAlignment="1" applyProtection="1">
      <alignment horizontal="center"/>
      <protection hidden="1" locked="0"/>
    </xf>
    <xf numFmtId="0" fontId="2" fillId="0" borderId="42" xfId="0" applyFont="1" applyBorder="1" applyAlignment="1">
      <alignment horizontal="left" vertical="center"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Fill="1" applyBorder="1" applyAlignment="1">
      <alignment/>
    </xf>
    <xf numFmtId="0" fontId="3" fillId="36" borderId="44" xfId="0" applyNumberFormat="1" applyFont="1" applyFill="1" applyBorder="1" applyAlignment="1" applyProtection="1">
      <alignment horizontal="center" vertical="center"/>
      <protection hidden="1" locked="0"/>
    </xf>
    <xf numFmtId="0" fontId="3" fillId="0" borderId="37" xfId="0" applyFont="1" applyFill="1" applyBorder="1" applyAlignment="1" applyProtection="1">
      <alignment horizontal="center" vertical="center"/>
      <protection hidden="1" locked="0"/>
    </xf>
    <xf numFmtId="0" fontId="3" fillId="0" borderId="38" xfId="0" applyFont="1" applyFill="1" applyBorder="1" applyAlignment="1" applyProtection="1">
      <alignment horizontal="center" vertical="center"/>
      <protection hidden="1" locked="0"/>
    </xf>
    <xf numFmtId="0" fontId="3" fillId="0" borderId="39" xfId="0" applyFont="1" applyFill="1" applyBorder="1" applyAlignment="1" applyProtection="1">
      <alignment horizontal="center" vertical="center"/>
      <protection hidden="1" locked="0"/>
    </xf>
    <xf numFmtId="0" fontId="2" fillId="0" borderId="41" xfId="0" applyFont="1" applyBorder="1" applyAlignment="1" applyProtection="1">
      <alignment horizontal="left" vertical="center"/>
      <protection hidden="1"/>
    </xf>
    <xf numFmtId="0" fontId="74" fillId="35" borderId="41" xfId="0" applyFont="1" applyFill="1" applyBorder="1" applyAlignment="1" applyProtection="1">
      <alignment horizontal="left" vertical="center"/>
      <protection hidden="1"/>
    </xf>
    <xf numFmtId="0" fontId="74" fillId="0" borderId="41" xfId="0" applyFont="1" applyBorder="1" applyAlignment="1" applyProtection="1">
      <alignment horizontal="left" vertical="center"/>
      <protection hidden="1"/>
    </xf>
    <xf numFmtId="0" fontId="74" fillId="0" borderId="42" xfId="0" applyFont="1" applyBorder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75" fillId="0" borderId="0" xfId="0" applyNumberFormat="1" applyFont="1" applyAlignment="1">
      <alignment/>
    </xf>
    <xf numFmtId="0" fontId="75" fillId="0" borderId="0" xfId="0" applyNumberFormat="1" applyFont="1" applyAlignment="1">
      <alignment horizontal="center"/>
    </xf>
    <xf numFmtId="0" fontId="75" fillId="0" borderId="0" xfId="0" applyNumberFormat="1" applyFont="1" applyBorder="1" applyAlignment="1">
      <alignment/>
    </xf>
    <xf numFmtId="0" fontId="76" fillId="0" borderId="14" xfId="0" applyNumberFormat="1" applyFont="1" applyBorder="1" applyAlignment="1">
      <alignment horizontal="center"/>
    </xf>
    <xf numFmtId="0" fontId="75" fillId="0" borderId="0" xfId="0" applyNumberFormat="1" applyFont="1" applyAlignment="1" applyProtection="1">
      <alignment/>
      <protection locked="0"/>
    </xf>
    <xf numFmtId="0" fontId="75" fillId="0" borderId="18" xfId="0" applyNumberFormat="1" applyFont="1" applyBorder="1" applyAlignment="1">
      <alignment/>
    </xf>
    <xf numFmtId="0" fontId="77" fillId="0" borderId="13" xfId="0" applyNumberFormat="1" applyFont="1" applyBorder="1" applyAlignment="1">
      <alignment horizontal="center"/>
    </xf>
    <xf numFmtId="0" fontId="0" fillId="0" borderId="0" xfId="0" applyFont="1" applyAlignment="1" applyProtection="1">
      <alignment/>
      <protection locked="0"/>
    </xf>
    <xf numFmtId="0" fontId="0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0" fillId="0" borderId="20" xfId="0" applyFont="1" applyBorder="1" applyAlignment="1" applyProtection="1">
      <alignment/>
      <protection locked="0"/>
    </xf>
    <xf numFmtId="0" fontId="6" fillId="0" borderId="14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14" xfId="0" applyNumberFormat="1" applyFont="1" applyBorder="1" applyAlignment="1">
      <alignment horizontal="center"/>
    </xf>
    <xf numFmtId="0" fontId="8" fillId="0" borderId="13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 locked="0"/>
    </xf>
    <xf numFmtId="0" fontId="3" fillId="0" borderId="14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49" fontId="7" fillId="0" borderId="26" xfId="0" applyNumberFormat="1" applyFont="1" applyBorder="1" applyAlignment="1">
      <alignment horizontal="center" vertical="center" wrapText="1"/>
    </xf>
    <xf numFmtId="0" fontId="0" fillId="0" borderId="30" xfId="0" applyNumberFormat="1" applyFont="1" applyBorder="1" applyAlignment="1">
      <alignment/>
    </xf>
    <xf numFmtId="49" fontId="7" fillId="0" borderId="0" xfId="0" applyNumberFormat="1" applyFont="1" applyBorder="1" applyAlignment="1">
      <alignment horizontal="center"/>
    </xf>
    <xf numFmtId="0" fontId="0" fillId="0" borderId="17" xfId="0" applyFont="1" applyBorder="1" applyAlignment="1" applyProtection="1">
      <alignment/>
      <protection locked="0"/>
    </xf>
    <xf numFmtId="0" fontId="8" fillId="0" borderId="0" xfId="0" applyNumberFormat="1" applyFont="1" applyBorder="1" applyAlignment="1">
      <alignment horizontal="center"/>
    </xf>
    <xf numFmtId="0" fontId="0" fillId="0" borderId="14" xfId="0" applyFont="1" applyBorder="1" applyAlignment="1" applyProtection="1">
      <alignment/>
      <protection locked="0"/>
    </xf>
    <xf numFmtId="0" fontId="6" fillId="0" borderId="30" xfId="0" applyNumberFormat="1" applyFont="1" applyBorder="1" applyAlignment="1" applyProtection="1">
      <alignment horizontal="center"/>
      <protection locked="0"/>
    </xf>
    <xf numFmtId="49" fontId="7" fillId="0" borderId="0" xfId="0" applyNumberFormat="1" applyFont="1" applyAlignment="1" applyProtection="1">
      <alignment horizontal="center"/>
      <protection locked="0"/>
    </xf>
    <xf numFmtId="0" fontId="0" fillId="0" borderId="27" xfId="0" applyNumberFormat="1" applyFont="1" applyBorder="1" applyAlignment="1" applyProtection="1">
      <alignment/>
      <protection locked="0"/>
    </xf>
    <xf numFmtId="0" fontId="6" fillId="0" borderId="0" xfId="0" applyNumberFormat="1" applyFont="1" applyBorder="1" applyAlignment="1">
      <alignment/>
    </xf>
    <xf numFmtId="0" fontId="6" fillId="0" borderId="0" xfId="0" applyNumberFormat="1" applyFont="1" applyAlignment="1">
      <alignment/>
    </xf>
    <xf numFmtId="0" fontId="6" fillId="0" borderId="18" xfId="0" applyNumberFormat="1" applyFont="1" applyBorder="1" applyAlignment="1">
      <alignment/>
    </xf>
    <xf numFmtId="0" fontId="6" fillId="0" borderId="24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 hidden="1"/>
    </xf>
    <xf numFmtId="0" fontId="7" fillId="0" borderId="33" xfId="0" applyFont="1" applyBorder="1" applyAlignment="1" applyProtection="1">
      <alignment vertical="center" wrapText="1"/>
      <protection hidden="1"/>
    </xf>
    <xf numFmtId="0" fontId="7" fillId="0" borderId="45" xfId="0" applyFont="1" applyBorder="1" applyAlignment="1" applyProtection="1">
      <alignment horizontal="center" vertical="center" wrapText="1"/>
      <protection hidden="1"/>
    </xf>
    <xf numFmtId="0" fontId="7" fillId="0" borderId="21" xfId="0" applyFont="1" applyBorder="1" applyAlignment="1" applyProtection="1">
      <alignment horizontal="center" vertical="center" wrapText="1"/>
      <protection hidden="1"/>
    </xf>
    <xf numFmtId="0" fontId="0" fillId="0" borderId="0" xfId="42" applyFont="1" applyAlignment="1" applyProtection="1">
      <alignment horizontal="center" vertical="center" wrapText="1"/>
      <protection/>
    </xf>
    <xf numFmtId="0" fontId="6" fillId="0" borderId="17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25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27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7" fillId="0" borderId="25" xfId="0" applyNumberFormat="1" applyFont="1" applyBorder="1" applyAlignment="1">
      <alignment horizontal="center" vertical="center"/>
    </xf>
    <xf numFmtId="0" fontId="7" fillId="0" borderId="27" xfId="0" applyNumberFormat="1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left" vertical="center" wrapText="1"/>
    </xf>
    <xf numFmtId="0" fontId="7" fillId="0" borderId="33" xfId="0" applyNumberFormat="1" applyFont="1" applyFill="1" applyBorder="1" applyAlignment="1">
      <alignment horizontal="center" vertical="center" wrapText="1"/>
    </xf>
    <xf numFmtId="0" fontId="7" fillId="0" borderId="33" xfId="0" applyNumberFormat="1" applyFont="1" applyBorder="1" applyAlignment="1">
      <alignment horizontal="center" vertical="center" wrapText="1"/>
    </xf>
    <xf numFmtId="0" fontId="7" fillId="0" borderId="25" xfId="0" applyNumberFormat="1" applyFont="1" applyFill="1" applyBorder="1" applyAlignment="1">
      <alignment horizontal="center" vertical="center"/>
    </xf>
    <xf numFmtId="0" fontId="7" fillId="0" borderId="27" xfId="0" applyNumberFormat="1" applyFont="1" applyFill="1" applyBorder="1" applyAlignment="1">
      <alignment horizontal="center" vertical="center"/>
    </xf>
    <xf numFmtId="0" fontId="7" fillId="0" borderId="33" xfId="0" applyNumberFormat="1" applyFont="1" applyBorder="1" applyAlignment="1">
      <alignment horizontal="center" vertical="center"/>
    </xf>
    <xf numFmtId="0" fontId="7" fillId="0" borderId="33" xfId="0" applyNumberFormat="1" applyFont="1" applyFill="1" applyBorder="1" applyAlignment="1">
      <alignment horizontal="center" vertical="center"/>
    </xf>
    <xf numFmtId="0" fontId="7" fillId="0" borderId="33" xfId="0" applyFont="1" applyBorder="1" applyAlignment="1">
      <alignment horizontal="center" vertical="center" wrapText="1"/>
    </xf>
    <xf numFmtId="0" fontId="7" fillId="0" borderId="25" xfId="0" applyNumberFormat="1" applyFont="1" applyFill="1" applyBorder="1" applyAlignment="1">
      <alignment horizontal="center" vertical="center" wrapText="1"/>
    </xf>
    <xf numFmtId="0" fontId="7" fillId="0" borderId="27" xfId="0" applyNumberFormat="1" applyFont="1" applyFill="1" applyBorder="1" applyAlignment="1">
      <alignment horizontal="center" vertical="center" wrapText="1"/>
    </xf>
    <xf numFmtId="0" fontId="0" fillId="0" borderId="33" xfId="0" applyNumberFormat="1" applyFill="1" applyBorder="1" applyAlignment="1">
      <alignment horizontal="center" vertical="center" wrapText="1"/>
    </xf>
    <xf numFmtId="49" fontId="0" fillId="0" borderId="33" xfId="0" applyNumberFormat="1" applyFill="1" applyBorder="1" applyAlignment="1">
      <alignment horizontal="center" vertical="center" wrapText="1"/>
    </xf>
    <xf numFmtId="0" fontId="0" fillId="35" borderId="33" xfId="0" applyFont="1" applyFill="1" applyBorder="1" applyAlignment="1">
      <alignment horizontal="center" vertical="center" wrapText="1"/>
    </xf>
    <xf numFmtId="0" fontId="7" fillId="0" borderId="33" xfId="0" applyFont="1" applyBorder="1" applyAlignment="1">
      <alignment horizontal="left" vertical="center" wrapText="1"/>
    </xf>
    <xf numFmtId="14" fontId="7" fillId="0" borderId="33" xfId="0" applyNumberFormat="1" applyFont="1" applyBorder="1" applyAlignment="1">
      <alignment horizontal="center" vertical="center" wrapText="1"/>
    </xf>
    <xf numFmtId="0" fontId="0" fillId="0" borderId="33" xfId="0" applyFont="1" applyBorder="1" applyAlignment="1">
      <alignment/>
    </xf>
    <xf numFmtId="0" fontId="7" fillId="0" borderId="35" xfId="0" applyNumberFormat="1" applyFont="1" applyBorder="1" applyAlignment="1">
      <alignment horizontal="left" vertical="center" wrapText="1"/>
    </xf>
    <xf numFmtId="0" fontId="32" fillId="0" borderId="33" xfId="0" applyNumberFormat="1" applyFont="1" applyBorder="1" applyAlignment="1">
      <alignment horizontal="center" vertical="center" wrapText="1"/>
    </xf>
    <xf numFmtId="0" fontId="7" fillId="0" borderId="35" xfId="0" applyNumberFormat="1" applyFont="1" applyFill="1" applyBorder="1" applyAlignment="1">
      <alignment horizontal="center" vertical="center" wrapText="1"/>
    </xf>
    <xf numFmtId="0" fontId="0" fillId="35" borderId="33" xfId="0" applyNumberFormat="1" applyFont="1" applyFill="1" applyBorder="1" applyAlignment="1">
      <alignment horizontal="center" vertical="center" wrapText="1"/>
    </xf>
    <xf numFmtId="0" fontId="7" fillId="0" borderId="33" xfId="0" applyNumberFormat="1" applyFont="1" applyBorder="1" applyAlignment="1">
      <alignment horizontal="left" vertical="center" wrapText="1"/>
    </xf>
    <xf numFmtId="0" fontId="7" fillId="0" borderId="33" xfId="0" applyNumberFormat="1" applyFont="1" applyFill="1" applyBorder="1" applyAlignment="1">
      <alignment horizontal="left" vertical="center" wrapText="1"/>
    </xf>
    <xf numFmtId="0" fontId="7" fillId="0" borderId="35" xfId="0" applyFont="1" applyBorder="1" applyAlignment="1">
      <alignment vertical="center" wrapText="1"/>
    </xf>
    <xf numFmtId="0" fontId="0" fillId="35" borderId="33" xfId="0" applyFont="1" applyFill="1" applyBorder="1" applyAlignment="1">
      <alignment horizontal="center" vertical="center"/>
    </xf>
    <xf numFmtId="0" fontId="7" fillId="0" borderId="33" xfId="0" applyFont="1" applyBorder="1" applyAlignment="1">
      <alignment horizontal="left" vertical="center"/>
    </xf>
    <xf numFmtId="49" fontId="7" fillId="0" borderId="33" xfId="0" applyNumberFormat="1" applyFont="1" applyBorder="1" applyAlignment="1">
      <alignment horizontal="center" vertical="center" wrapText="1"/>
    </xf>
    <xf numFmtId="0" fontId="29" fillId="0" borderId="33" xfId="0" applyNumberFormat="1" applyFont="1" applyBorder="1" applyAlignment="1">
      <alignment horizontal="center" vertical="center" wrapText="1"/>
    </xf>
    <xf numFmtId="0" fontId="0" fillId="0" borderId="33" xfId="0" applyFont="1" applyBorder="1" applyAlignment="1">
      <alignment horizontal="left" vertical="center" wrapText="1"/>
    </xf>
    <xf numFmtId="0" fontId="7" fillId="0" borderId="35" xfId="0" applyNumberFormat="1" applyFont="1" applyFill="1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32" fillId="0" borderId="33" xfId="0" applyNumberFormat="1" applyFont="1" applyFill="1" applyBorder="1" applyAlignment="1">
      <alignment horizontal="center" vertical="center" wrapText="1"/>
    </xf>
    <xf numFmtId="0" fontId="7" fillId="0" borderId="25" xfId="0" applyFont="1" applyBorder="1" applyAlignment="1">
      <alignment vertical="center" wrapText="1"/>
    </xf>
    <xf numFmtId="0" fontId="7" fillId="0" borderId="27" xfId="0" applyFont="1" applyBorder="1" applyAlignment="1">
      <alignment vertical="center" wrapText="1"/>
    </xf>
    <xf numFmtId="0" fontId="7" fillId="0" borderId="33" xfId="0" applyFont="1" applyBorder="1" applyAlignment="1">
      <alignment horizontal="center" vertical="center"/>
    </xf>
    <xf numFmtId="49" fontId="0" fillId="0" borderId="33" xfId="0" applyNumberFormat="1" applyFont="1" applyBorder="1" applyAlignment="1">
      <alignment/>
    </xf>
    <xf numFmtId="49" fontId="7" fillId="0" borderId="33" xfId="0" applyNumberFormat="1" applyFont="1" applyBorder="1" applyAlignment="1">
      <alignment horizontal="center" vertical="center"/>
    </xf>
    <xf numFmtId="0" fontId="7" fillId="0" borderId="33" xfId="0" applyNumberFormat="1" applyFont="1" applyFill="1" applyBorder="1" applyAlignment="1">
      <alignment horizontal="left" vertical="center"/>
    </xf>
    <xf numFmtId="0" fontId="16" fillId="0" borderId="45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49" fontId="0" fillId="35" borderId="33" xfId="0" applyNumberFormat="1" applyFont="1" applyFill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7" fillId="0" borderId="35" xfId="0" applyFont="1" applyBorder="1" applyAlignment="1">
      <alignment horizontal="left" vertical="center"/>
    </xf>
    <xf numFmtId="49" fontId="7" fillId="0" borderId="33" xfId="0" applyNumberFormat="1" applyFont="1" applyBorder="1" applyAlignment="1">
      <alignment horizontal="left" vertical="center" wrapText="1"/>
    </xf>
    <xf numFmtId="0" fontId="7" fillId="0" borderId="45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12" fillId="0" borderId="33" xfId="0" applyFont="1" applyBorder="1" applyAlignment="1">
      <alignment horizontal="center" vertical="center" wrapText="1"/>
    </xf>
    <xf numFmtId="49" fontId="7" fillId="0" borderId="45" xfId="0" applyNumberFormat="1" applyFont="1" applyBorder="1" applyAlignment="1">
      <alignment horizontal="center" vertical="center" wrapText="1"/>
    </xf>
    <xf numFmtId="49" fontId="7" fillId="0" borderId="21" xfId="0" applyNumberFormat="1" applyFont="1" applyBorder="1" applyAlignment="1">
      <alignment horizontal="center" vertical="center" wrapText="1"/>
    </xf>
    <xf numFmtId="14" fontId="7" fillId="0" borderId="45" xfId="0" applyNumberFormat="1" applyFont="1" applyBorder="1" applyAlignment="1">
      <alignment horizontal="center" vertical="center" wrapText="1"/>
    </xf>
    <xf numFmtId="49" fontId="7" fillId="0" borderId="45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0" fontId="7" fillId="0" borderId="45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0" borderId="45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45" xfId="0" applyNumberFormat="1" applyFont="1" applyBorder="1" applyAlignment="1">
      <alignment horizontal="left" vertical="center" wrapText="1"/>
    </xf>
    <xf numFmtId="0" fontId="7" fillId="0" borderId="21" xfId="0" applyNumberFormat="1" applyFont="1" applyBorder="1" applyAlignment="1">
      <alignment horizontal="left" vertical="center" wrapText="1"/>
    </xf>
    <xf numFmtId="0" fontId="7" fillId="0" borderId="45" xfId="0" applyNumberFormat="1" applyFont="1" applyBorder="1" applyAlignment="1">
      <alignment horizontal="center" vertical="center" wrapText="1"/>
    </xf>
    <xf numFmtId="0" fontId="7" fillId="0" borderId="21" xfId="0" applyNumberFormat="1" applyFont="1" applyBorder="1" applyAlignment="1">
      <alignment horizontal="center" vertical="center" wrapText="1"/>
    </xf>
    <xf numFmtId="49" fontId="32" fillId="0" borderId="45" xfId="0" applyNumberFormat="1" applyFont="1" applyBorder="1" applyAlignment="1">
      <alignment horizontal="center" vertical="center" wrapText="1"/>
    </xf>
    <xf numFmtId="49" fontId="32" fillId="0" borderId="21" xfId="0" applyNumberFormat="1" applyFont="1" applyBorder="1" applyAlignment="1">
      <alignment horizontal="center" vertical="center" wrapText="1"/>
    </xf>
    <xf numFmtId="0" fontId="7" fillId="0" borderId="45" xfId="0" applyNumberFormat="1" applyFont="1" applyFill="1" applyBorder="1" applyAlignment="1">
      <alignment horizontal="left" vertical="center" wrapText="1"/>
    </xf>
    <xf numFmtId="0" fontId="7" fillId="0" borderId="21" xfId="0" applyNumberFormat="1" applyFont="1" applyFill="1" applyBorder="1" applyAlignment="1">
      <alignment horizontal="left" vertical="center" wrapText="1"/>
    </xf>
    <xf numFmtId="0" fontId="7" fillId="0" borderId="45" xfId="0" applyFont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0" fontId="32" fillId="0" borderId="45" xfId="0" applyNumberFormat="1" applyFont="1" applyFill="1" applyBorder="1" applyAlignment="1">
      <alignment horizontal="center" vertical="center" wrapText="1"/>
    </xf>
    <xf numFmtId="0" fontId="32" fillId="0" borderId="21" xfId="0" applyNumberFormat="1" applyFont="1" applyFill="1" applyBorder="1" applyAlignment="1">
      <alignment horizontal="center" vertical="center" wrapText="1"/>
    </xf>
    <xf numFmtId="0" fontId="7" fillId="0" borderId="45" xfId="0" applyNumberFormat="1" applyFont="1" applyFill="1" applyBorder="1" applyAlignment="1">
      <alignment horizontal="center" vertical="center" wrapText="1"/>
    </xf>
    <xf numFmtId="0" fontId="7" fillId="0" borderId="21" xfId="0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 horizontal="left" vertical="center" wrapText="1"/>
    </xf>
    <xf numFmtId="49" fontId="7" fillId="0" borderId="45" xfId="0" applyNumberFormat="1" applyFont="1" applyBorder="1" applyAlignment="1">
      <alignment horizontal="left" vertical="center"/>
    </xf>
    <xf numFmtId="49" fontId="7" fillId="0" borderId="21" xfId="0" applyNumberFormat="1" applyFont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6" fillId="0" borderId="0" xfId="42" applyFont="1" applyBorder="1" applyAlignment="1" applyProtection="1">
      <alignment horizontal="center" vertical="center" wrapText="1"/>
      <protection/>
    </xf>
    <xf numFmtId="0" fontId="14" fillId="0" borderId="46" xfId="42" applyFont="1" applyBorder="1" applyAlignment="1" applyProtection="1">
      <alignment horizontal="center" vertical="center" wrapText="1"/>
      <protection/>
    </xf>
    <xf numFmtId="0" fontId="14" fillId="0" borderId="23" xfId="42" applyFont="1" applyBorder="1" applyAlignment="1" applyProtection="1">
      <alignment horizontal="center" vertical="center" wrapText="1"/>
      <protection/>
    </xf>
    <xf numFmtId="0" fontId="14" fillId="0" borderId="47" xfId="42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horizontal="left" vertical="center" wrapText="1"/>
    </xf>
    <xf numFmtId="14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7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0" fillId="0" borderId="42" xfId="0" applyNumberFormat="1" applyFont="1" applyBorder="1" applyAlignment="1" applyProtection="1">
      <alignment horizontal="center" vertical="center" wrapText="1"/>
      <protection locked="0"/>
    </xf>
    <xf numFmtId="0" fontId="10" fillId="0" borderId="48" xfId="0" applyNumberFormat="1" applyFont="1" applyBorder="1" applyAlignment="1" applyProtection="1">
      <alignment horizontal="center" vertical="center" wrapText="1"/>
      <protection locked="0"/>
    </xf>
    <xf numFmtId="0" fontId="10" fillId="0" borderId="40" xfId="0" applyNumberFormat="1" applyFont="1" applyBorder="1" applyAlignment="1" applyProtection="1">
      <alignment horizontal="center" vertical="center" wrapText="1"/>
      <protection locked="0"/>
    </xf>
    <xf numFmtId="0" fontId="6" fillId="0" borderId="22" xfId="42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NumberFormat="1" applyFont="1" applyAlignment="1" applyProtection="1">
      <alignment horizontal="center" vertical="center"/>
      <protection locked="0"/>
    </xf>
    <xf numFmtId="0" fontId="4" fillId="0" borderId="28" xfId="42" applyNumberFormat="1" applyFont="1" applyBorder="1" applyAlignment="1" applyProtection="1">
      <alignment horizontal="center" vertical="center" wrapText="1"/>
      <protection locked="0"/>
    </xf>
    <xf numFmtId="0" fontId="4" fillId="0" borderId="49" xfId="42" applyNumberFormat="1" applyFont="1" applyBorder="1" applyAlignment="1" applyProtection="1">
      <alignment horizontal="center" vertical="center" wrapText="1"/>
      <protection locked="0"/>
    </xf>
    <xf numFmtId="0" fontId="4" fillId="0" borderId="50" xfId="42" applyNumberFormat="1" applyFont="1" applyBorder="1" applyAlignment="1" applyProtection="1">
      <alignment horizontal="center" vertical="center" wrapText="1"/>
      <protection locked="0"/>
    </xf>
    <xf numFmtId="0" fontId="4" fillId="0" borderId="29" xfId="42" applyNumberFormat="1" applyFont="1" applyBorder="1" applyAlignment="1" applyProtection="1">
      <alignment horizontal="center" vertical="center" wrapText="1"/>
      <protection locked="0"/>
    </xf>
    <xf numFmtId="0" fontId="4" fillId="0" borderId="22" xfId="42" applyNumberFormat="1" applyFont="1" applyBorder="1" applyAlignment="1" applyProtection="1">
      <alignment horizontal="center" vertical="center" wrapText="1"/>
      <protection locked="0"/>
    </xf>
    <xf numFmtId="0" fontId="4" fillId="0" borderId="51" xfId="42" applyNumberFormat="1" applyFont="1" applyBorder="1" applyAlignment="1" applyProtection="1">
      <alignment horizontal="center" vertical="center" wrapText="1"/>
      <protection locked="0"/>
    </xf>
    <xf numFmtId="0" fontId="7" fillId="0" borderId="46" xfId="0" applyNumberFormat="1" applyFont="1" applyBorder="1" applyAlignment="1" applyProtection="1">
      <alignment horizontal="center" vertical="center"/>
      <protection locked="0"/>
    </xf>
    <xf numFmtId="0" fontId="7" fillId="0" borderId="23" xfId="0" applyNumberFormat="1" applyFont="1" applyBorder="1" applyAlignment="1" applyProtection="1">
      <alignment horizontal="center" vertical="center"/>
      <protection locked="0"/>
    </xf>
    <xf numFmtId="0" fontId="7" fillId="0" borderId="47" xfId="0" applyNumberFormat="1" applyFont="1" applyBorder="1" applyAlignment="1" applyProtection="1">
      <alignment horizontal="center" vertical="center"/>
      <protection locked="0"/>
    </xf>
    <xf numFmtId="0" fontId="6" fillId="0" borderId="22" xfId="0" applyNumberFormat="1" applyFont="1" applyBorder="1" applyAlignment="1" applyProtection="1">
      <alignment horizontal="right"/>
      <protection locked="0"/>
    </xf>
    <xf numFmtId="0" fontId="6" fillId="0" borderId="0" xfId="0" applyNumberFormat="1" applyFont="1" applyAlignment="1" applyProtection="1">
      <alignment horizontal="center"/>
      <protection locked="0"/>
    </xf>
    <xf numFmtId="0" fontId="31" fillId="36" borderId="46" xfId="42" applyNumberFormat="1" applyFont="1" applyFill="1" applyBorder="1" applyAlignment="1" applyProtection="1">
      <alignment horizontal="center" vertical="center" wrapText="1"/>
      <protection locked="0"/>
    </xf>
    <xf numFmtId="0" fontId="31" fillId="36" borderId="23" xfId="42" applyNumberFormat="1" applyFont="1" applyFill="1" applyBorder="1" applyAlignment="1" applyProtection="1">
      <alignment horizontal="center" vertical="center" wrapText="1"/>
      <protection locked="0"/>
    </xf>
    <xf numFmtId="0" fontId="31" fillId="36" borderId="47" xfId="42" applyNumberFormat="1" applyFont="1" applyFill="1" applyBorder="1" applyAlignment="1" applyProtection="1">
      <alignment horizontal="center" vertical="center" wrapText="1"/>
      <protection locked="0"/>
    </xf>
    <xf numFmtId="0" fontId="78" fillId="0" borderId="24" xfId="42" applyNumberFormat="1" applyFont="1" applyBorder="1" applyAlignment="1" applyProtection="1">
      <alignment horizontal="left" vertical="center" wrapText="1"/>
      <protection locked="0"/>
    </xf>
    <xf numFmtId="0" fontId="78" fillId="0" borderId="43" xfId="42" applyNumberFormat="1" applyFont="1" applyBorder="1" applyAlignment="1" applyProtection="1">
      <alignment horizontal="left" vertical="center" wrapText="1"/>
      <protection locked="0"/>
    </xf>
    <xf numFmtId="0" fontId="7" fillId="0" borderId="24" xfId="42" applyNumberFormat="1" applyFont="1" applyBorder="1" applyAlignment="1" applyProtection="1">
      <alignment horizontal="left" vertical="center" wrapText="1"/>
      <protection locked="0"/>
    </xf>
    <xf numFmtId="0" fontId="7" fillId="0" borderId="43" xfId="42" applyNumberFormat="1" applyFont="1" applyBorder="1" applyAlignment="1" applyProtection="1">
      <alignment horizontal="left" vertical="center" wrapText="1"/>
      <protection locked="0"/>
    </xf>
    <xf numFmtId="0" fontId="10" fillId="0" borderId="52" xfId="0" applyNumberFormat="1" applyFont="1" applyBorder="1" applyAlignment="1" applyProtection="1">
      <alignment horizontal="center" vertical="center" wrapText="1"/>
      <protection locked="0"/>
    </xf>
    <xf numFmtId="0" fontId="10" fillId="0" borderId="53" xfId="0" applyNumberFormat="1" applyFont="1" applyBorder="1" applyAlignment="1" applyProtection="1">
      <alignment horizontal="center" vertical="center" wrapText="1"/>
      <protection locked="0"/>
    </xf>
    <xf numFmtId="0" fontId="7" fillId="0" borderId="42" xfId="0" applyNumberFormat="1" applyFont="1" applyBorder="1" applyAlignment="1" applyProtection="1">
      <alignment horizontal="left" vertical="center" wrapText="1"/>
      <protection locked="0"/>
    </xf>
    <xf numFmtId="0" fontId="7" fillId="0" borderId="40" xfId="42" applyNumberFormat="1" applyFont="1" applyBorder="1" applyAlignment="1" applyProtection="1">
      <alignment horizontal="left" vertical="center" wrapText="1"/>
      <protection locked="0"/>
    </xf>
    <xf numFmtId="0" fontId="10" fillId="0" borderId="54" xfId="0" applyNumberFormat="1" applyFont="1" applyBorder="1" applyAlignment="1" applyProtection="1">
      <alignment horizontal="center" vertical="center" wrapText="1"/>
      <protection locked="0"/>
    </xf>
    <xf numFmtId="0" fontId="17" fillId="0" borderId="49" xfId="42" applyNumberFormat="1" applyFont="1" applyBorder="1" applyAlignment="1" applyProtection="1">
      <alignment horizontal="center" vertical="center"/>
      <protection locked="0"/>
    </xf>
    <xf numFmtId="0" fontId="6" fillId="0" borderId="55" xfId="0" applyNumberFormat="1" applyFont="1" applyBorder="1" applyAlignment="1" applyProtection="1">
      <alignment horizontal="center" vertical="center" wrapText="1"/>
      <protection locked="0"/>
    </xf>
    <xf numFmtId="0" fontId="6" fillId="0" borderId="56" xfId="0" applyNumberFormat="1" applyFont="1" applyBorder="1" applyAlignment="1" applyProtection="1">
      <alignment horizontal="center" vertical="center" wrapText="1"/>
      <protection locked="0"/>
    </xf>
    <xf numFmtId="0" fontId="6" fillId="0" borderId="57" xfId="0" applyNumberFormat="1" applyFont="1" applyBorder="1" applyAlignment="1" applyProtection="1">
      <alignment horizontal="center" vertical="center" wrapText="1"/>
      <protection locked="0"/>
    </xf>
    <xf numFmtId="0" fontId="6" fillId="0" borderId="58" xfId="0" applyNumberFormat="1" applyFont="1" applyBorder="1" applyAlignment="1" applyProtection="1">
      <alignment horizontal="center" vertical="center" wrapText="1"/>
      <protection locked="0"/>
    </xf>
    <xf numFmtId="0" fontId="6" fillId="0" borderId="59" xfId="0" applyNumberFormat="1" applyFont="1" applyBorder="1" applyAlignment="1" applyProtection="1">
      <alignment horizontal="center" vertical="center" wrapText="1"/>
      <protection locked="0"/>
    </xf>
    <xf numFmtId="0" fontId="6" fillId="0" borderId="60" xfId="0" applyNumberFormat="1" applyFont="1" applyBorder="1" applyAlignment="1" applyProtection="1">
      <alignment horizontal="center" vertical="center" wrapText="1"/>
      <protection locked="0"/>
    </xf>
    <xf numFmtId="0" fontId="6" fillId="0" borderId="61" xfId="0" applyNumberFormat="1" applyFont="1" applyBorder="1" applyAlignment="1" applyProtection="1">
      <alignment horizontal="center" vertical="center" wrapText="1"/>
      <protection locked="0"/>
    </xf>
    <xf numFmtId="0" fontId="6" fillId="0" borderId="62" xfId="0" applyNumberFormat="1" applyFont="1" applyBorder="1" applyAlignment="1" applyProtection="1">
      <alignment horizontal="center" vertical="center" wrapText="1"/>
      <protection locked="0"/>
    </xf>
    <xf numFmtId="0" fontId="6" fillId="0" borderId="63" xfId="0" applyNumberFormat="1" applyFont="1" applyBorder="1" applyAlignment="1" applyProtection="1">
      <alignment horizontal="center" vertical="center" wrapText="1"/>
      <protection locked="0"/>
    </xf>
    <xf numFmtId="0" fontId="6" fillId="0" borderId="64" xfId="0" applyNumberFormat="1" applyFont="1" applyBorder="1" applyAlignment="1" applyProtection="1">
      <alignment horizontal="center" vertical="center" wrapText="1"/>
      <protection locked="0"/>
    </xf>
    <xf numFmtId="0" fontId="6" fillId="0" borderId="65" xfId="0" applyNumberFormat="1" applyFont="1" applyBorder="1" applyAlignment="1" applyProtection="1">
      <alignment horizontal="center" vertical="center" wrapText="1"/>
      <protection locked="0"/>
    </xf>
    <xf numFmtId="0" fontId="6" fillId="0" borderId="66" xfId="0" applyNumberFormat="1" applyFont="1" applyBorder="1" applyAlignment="1" applyProtection="1">
      <alignment horizontal="center" vertical="center" wrapText="1"/>
      <protection locked="0"/>
    </xf>
    <xf numFmtId="0" fontId="78" fillId="0" borderId="42" xfId="0" applyNumberFormat="1" applyFont="1" applyBorder="1" applyAlignment="1" applyProtection="1">
      <alignment horizontal="left" vertical="center" wrapText="1"/>
      <protection locked="0"/>
    </xf>
    <xf numFmtId="0" fontId="78" fillId="0" borderId="48" xfId="0" applyNumberFormat="1" applyFont="1" applyBorder="1" applyAlignment="1" applyProtection="1">
      <alignment horizontal="left" vertical="center" wrapText="1"/>
      <protection locked="0"/>
    </xf>
    <xf numFmtId="0" fontId="78" fillId="0" borderId="42" xfId="42" applyNumberFormat="1" applyFont="1" applyBorder="1" applyAlignment="1" applyProtection="1">
      <alignment horizontal="left" vertical="center" wrapText="1"/>
      <protection locked="0"/>
    </xf>
    <xf numFmtId="0" fontId="6" fillId="0" borderId="67" xfId="0" applyNumberFormat="1" applyFont="1" applyBorder="1" applyAlignment="1" applyProtection="1">
      <alignment horizontal="center" vertical="center" wrapText="1"/>
      <protection locked="0"/>
    </xf>
    <xf numFmtId="0" fontId="6" fillId="0" borderId="68" xfId="0" applyNumberFormat="1" applyFont="1" applyBorder="1" applyAlignment="1" applyProtection="1">
      <alignment horizontal="center" vertical="center" wrapText="1"/>
      <protection locked="0"/>
    </xf>
    <xf numFmtId="0" fontId="6" fillId="0" borderId="69" xfId="0" applyNumberFormat="1" applyFont="1" applyBorder="1" applyAlignment="1" applyProtection="1">
      <alignment horizontal="center" vertical="center" wrapText="1"/>
      <protection locked="0"/>
    </xf>
    <xf numFmtId="0" fontId="6" fillId="0" borderId="70" xfId="0" applyNumberFormat="1" applyFont="1" applyBorder="1" applyAlignment="1" applyProtection="1">
      <alignment horizontal="center" vertical="center" wrapText="1"/>
      <protection locked="0"/>
    </xf>
    <xf numFmtId="0" fontId="6" fillId="0" borderId="71" xfId="0" applyNumberFormat="1" applyFont="1" applyBorder="1" applyAlignment="1" applyProtection="1">
      <alignment horizontal="center" vertical="center" wrapText="1"/>
      <protection locked="0"/>
    </xf>
    <xf numFmtId="0" fontId="6" fillId="0" borderId="72" xfId="0" applyNumberFormat="1" applyFont="1" applyBorder="1" applyAlignment="1" applyProtection="1">
      <alignment horizontal="center" vertical="center" wrapText="1"/>
      <protection locked="0"/>
    </xf>
    <xf numFmtId="0" fontId="76" fillId="0" borderId="17" xfId="0" applyNumberFormat="1" applyFont="1" applyBorder="1" applyAlignment="1">
      <alignment horizontal="center"/>
    </xf>
    <xf numFmtId="0" fontId="0" fillId="0" borderId="18" xfId="0" applyNumberFormat="1" applyFont="1" applyBorder="1" applyAlignment="1">
      <alignment horizontal="center"/>
    </xf>
    <xf numFmtId="0" fontId="0" fillId="0" borderId="13" xfId="0" applyNumberFormat="1" applyFont="1" applyBorder="1" applyAlignment="1">
      <alignment horizontal="center"/>
    </xf>
    <xf numFmtId="0" fontId="76" fillId="0" borderId="16" xfId="0" applyNumberFormat="1" applyFont="1" applyBorder="1" applyAlignment="1">
      <alignment horizontal="center"/>
    </xf>
    <xf numFmtId="0" fontId="75" fillId="0" borderId="18" xfId="0" applyNumberFormat="1" applyFont="1" applyBorder="1" applyAlignment="1">
      <alignment horizontal="center"/>
    </xf>
    <xf numFmtId="0" fontId="15" fillId="0" borderId="0" xfId="42" applyNumberFormat="1" applyFont="1" applyAlignment="1" applyProtection="1">
      <alignment horizontal="center"/>
      <protection locked="0"/>
    </xf>
    <xf numFmtId="0" fontId="7" fillId="0" borderId="0" xfId="42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0" fontId="6" fillId="0" borderId="18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15" fillId="0" borderId="0" xfId="42" applyNumberFormat="1" applyFont="1" applyBorder="1" applyAlignment="1" applyProtection="1">
      <alignment horizontal="center"/>
      <protection locked="0"/>
    </xf>
    <xf numFmtId="0" fontId="0" fillId="0" borderId="33" xfId="42" applyFont="1" applyBorder="1" applyAlignment="1" applyProtection="1">
      <alignment horizontal="center" vertical="center" wrapText="1"/>
      <protection/>
    </xf>
    <xf numFmtId="0" fontId="8" fillId="0" borderId="73" xfId="0" applyFont="1" applyBorder="1" applyAlignment="1">
      <alignment horizontal="center" vertical="center" wrapText="1"/>
    </xf>
    <xf numFmtId="0" fontId="0" fillId="0" borderId="74" xfId="42" applyFont="1" applyBorder="1" applyAlignment="1" applyProtection="1">
      <alignment horizontal="center" vertical="center" wrapText="1"/>
      <protection/>
    </xf>
    <xf numFmtId="0" fontId="8" fillId="0" borderId="33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49" fontId="8" fillId="0" borderId="74" xfId="0" applyNumberFormat="1" applyFont="1" applyBorder="1" applyAlignment="1">
      <alignment horizontal="center" vertical="center" wrapText="1"/>
    </xf>
    <xf numFmtId="0" fontId="0" fillId="0" borderId="21" xfId="42" applyFont="1" applyBorder="1" applyAlignment="1" applyProtection="1">
      <alignment horizontal="center" vertical="center" wrapText="1"/>
      <protection/>
    </xf>
    <xf numFmtId="0" fontId="24" fillId="0" borderId="75" xfId="0" applyFont="1" applyBorder="1" applyAlignment="1">
      <alignment horizontal="center" vertical="center" wrapText="1"/>
    </xf>
    <xf numFmtId="0" fontId="24" fillId="0" borderId="76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 wrapText="1"/>
    </xf>
    <xf numFmtId="0" fontId="24" fillId="0" borderId="77" xfId="0" applyFont="1" applyBorder="1" applyAlignment="1">
      <alignment horizontal="center" vertical="center" wrapText="1"/>
    </xf>
    <xf numFmtId="0" fontId="7" fillId="0" borderId="74" xfId="0" applyFont="1" applyBorder="1" applyAlignment="1">
      <alignment horizontal="center" vertical="center" wrapText="1"/>
    </xf>
    <xf numFmtId="0" fontId="7" fillId="0" borderId="7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7" fillId="0" borderId="38" xfId="0" applyFont="1" applyBorder="1" applyAlignment="1">
      <alignment horizontal="center" vertical="center" wrapText="1"/>
    </xf>
    <xf numFmtId="0" fontId="7" fillId="0" borderId="7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8" fillId="0" borderId="74" xfId="0" applyFont="1" applyBorder="1" applyAlignment="1">
      <alignment horizontal="center" vertical="center" wrapText="1"/>
    </xf>
    <xf numFmtId="49" fontId="7" fillId="0" borderId="74" xfId="0" applyNumberFormat="1" applyFont="1" applyBorder="1" applyAlignment="1">
      <alignment horizontal="center" vertical="center" wrapText="1"/>
    </xf>
    <xf numFmtId="0" fontId="7" fillId="0" borderId="79" xfId="0" applyFont="1" applyBorder="1" applyAlignment="1">
      <alignment horizontal="center" vertical="center" wrapText="1"/>
    </xf>
    <xf numFmtId="0" fontId="7" fillId="0" borderId="80" xfId="0" applyFont="1" applyBorder="1" applyAlignment="1">
      <alignment horizontal="center" vertical="center" wrapText="1"/>
    </xf>
    <xf numFmtId="0" fontId="1" fillId="0" borderId="81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28" fillId="0" borderId="74" xfId="0" applyFont="1" applyBorder="1" applyAlignment="1">
      <alignment horizontal="center" vertical="center" wrapText="1"/>
    </xf>
    <xf numFmtId="0" fontId="28" fillId="0" borderId="33" xfId="0" applyFont="1" applyBorder="1" applyAlignment="1">
      <alignment horizontal="center" vertical="center" wrapText="1"/>
    </xf>
    <xf numFmtId="0" fontId="0" fillId="0" borderId="82" xfId="0" applyFont="1" applyBorder="1" applyAlignment="1">
      <alignment horizontal="left" vertical="center" wrapText="1"/>
    </xf>
    <xf numFmtId="0" fontId="0" fillId="0" borderId="83" xfId="0" applyFont="1" applyBorder="1" applyAlignment="1">
      <alignment horizontal="left" vertical="center"/>
    </xf>
    <xf numFmtId="0" fontId="26" fillId="0" borderId="45" xfId="0" applyFont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 wrapText="1"/>
    </xf>
    <xf numFmtId="0" fontId="0" fillId="0" borderId="83" xfId="0" applyFont="1" applyBorder="1" applyAlignment="1">
      <alignment horizontal="left" vertical="center" wrapText="1"/>
    </xf>
    <xf numFmtId="0" fontId="0" fillId="0" borderId="84" xfId="0" applyFont="1" applyBorder="1" applyAlignment="1">
      <alignment horizontal="left" vertical="center"/>
    </xf>
    <xf numFmtId="0" fontId="1" fillId="0" borderId="8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center" vertical="center" wrapText="1"/>
    </xf>
    <xf numFmtId="49" fontId="8" fillId="0" borderId="21" xfId="0" applyNumberFormat="1" applyFont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center" wrapText="1"/>
    </xf>
    <xf numFmtId="0" fontId="7" fillId="0" borderId="8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24" fillId="0" borderId="74" xfId="0" applyFont="1" applyBorder="1" applyAlignment="1">
      <alignment horizontal="center" vertical="center" wrapText="1"/>
    </xf>
    <xf numFmtId="0" fontId="24" fillId="0" borderId="73" xfId="0" applyFont="1" applyBorder="1" applyAlignment="1">
      <alignment horizontal="center" vertical="center" wrapText="1"/>
    </xf>
    <xf numFmtId="49" fontId="24" fillId="0" borderId="81" xfId="0" applyNumberFormat="1" applyFont="1" applyBorder="1" applyAlignment="1">
      <alignment horizontal="center" vertical="center" wrapText="1"/>
    </xf>
    <xf numFmtId="49" fontId="24" fillId="0" borderId="38" xfId="0" applyNumberFormat="1" applyFont="1" applyBorder="1" applyAlignment="1">
      <alignment horizontal="center" vertical="center" wrapText="1"/>
    </xf>
    <xf numFmtId="0" fontId="7" fillId="0" borderId="81" xfId="0" applyFont="1" applyBorder="1" applyAlignment="1">
      <alignment horizontal="center" vertical="center" wrapText="1"/>
    </xf>
    <xf numFmtId="49" fontId="24" fillId="0" borderId="79" xfId="0" applyNumberFormat="1" applyFont="1" applyBorder="1" applyAlignment="1">
      <alignment horizontal="center" vertical="center" wrapText="1"/>
    </xf>
    <xf numFmtId="0" fontId="24" fillId="0" borderId="87" xfId="0" applyFont="1" applyBorder="1" applyAlignment="1">
      <alignment horizontal="center" vertical="center" wrapText="1"/>
    </xf>
    <xf numFmtId="0" fontId="7" fillId="0" borderId="82" xfId="0" applyFont="1" applyBorder="1" applyAlignment="1">
      <alignment horizontal="center" vertical="center" wrapText="1"/>
    </xf>
    <xf numFmtId="0" fontId="7" fillId="0" borderId="84" xfId="0" applyFont="1" applyBorder="1" applyAlignment="1">
      <alignment horizontal="center" vertical="center" wrapText="1"/>
    </xf>
    <xf numFmtId="0" fontId="25" fillId="0" borderId="88" xfId="0" applyFont="1" applyBorder="1" applyAlignment="1">
      <alignment horizontal="center" vertical="center" wrapText="1"/>
    </xf>
    <xf numFmtId="0" fontId="25" fillId="0" borderId="89" xfId="0" applyFont="1" applyBorder="1" applyAlignment="1">
      <alignment horizontal="center" vertical="center" wrapText="1"/>
    </xf>
    <xf numFmtId="0" fontId="1" fillId="0" borderId="81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28" fillId="0" borderId="74" xfId="0" applyNumberFormat="1" applyFont="1" applyBorder="1" applyAlignment="1">
      <alignment horizontal="center" vertical="center" wrapText="1"/>
    </xf>
    <xf numFmtId="0" fontId="28" fillId="0" borderId="33" xfId="0" applyNumberFormat="1" applyFont="1" applyBorder="1" applyAlignment="1">
      <alignment horizontal="center" vertical="center" wrapText="1"/>
    </xf>
    <xf numFmtId="0" fontId="26" fillId="0" borderId="45" xfId="0" applyNumberFormat="1" applyFont="1" applyBorder="1" applyAlignment="1">
      <alignment horizontal="center" vertical="center" wrapText="1"/>
    </xf>
    <xf numFmtId="0" fontId="26" fillId="0" borderId="38" xfId="0" applyNumberFormat="1" applyFont="1" applyBorder="1" applyAlignment="1">
      <alignment horizontal="center" vertical="center" wrapText="1"/>
    </xf>
    <xf numFmtId="0" fontId="28" fillId="0" borderId="33" xfId="0" applyNumberFormat="1" applyFont="1" applyBorder="1" applyAlignment="1">
      <alignment horizontal="center" vertical="center" wrapText="1"/>
    </xf>
    <xf numFmtId="0" fontId="28" fillId="0" borderId="73" xfId="0" applyNumberFormat="1" applyFont="1" applyBorder="1" applyAlignment="1">
      <alignment horizontal="center" vertical="center" wrapText="1"/>
    </xf>
    <xf numFmtId="0" fontId="28" fillId="0" borderId="74" xfId="0" applyNumberFormat="1" applyFont="1" applyBorder="1" applyAlignment="1">
      <alignment horizontal="center" vertical="center" wrapText="1"/>
    </xf>
    <xf numFmtId="0" fontId="1" fillId="0" borderId="7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42" applyFont="1" applyAlignment="1" applyProtection="1">
      <alignment horizontal="center" vertical="center" wrapText="1"/>
      <protection/>
    </xf>
    <xf numFmtId="0" fontId="26" fillId="0" borderId="83" xfId="0" applyFont="1" applyBorder="1" applyAlignment="1">
      <alignment horizontal="center" vertical="center" wrapText="1"/>
    </xf>
    <xf numFmtId="0" fontId="27" fillId="0" borderId="84" xfId="0" applyFont="1" applyBorder="1" applyAlignment="1">
      <alignment horizontal="center" vertical="center"/>
    </xf>
    <xf numFmtId="0" fontId="0" fillId="0" borderId="33" xfId="42" applyFont="1" applyBorder="1" applyAlignment="1" applyProtection="1">
      <alignment horizontal="left" vertical="center" wrapText="1"/>
      <protection/>
    </xf>
    <xf numFmtId="0" fontId="8" fillId="0" borderId="73" xfId="0" applyFont="1" applyBorder="1" applyAlignment="1">
      <alignment horizontal="left" vertical="center" wrapText="1"/>
    </xf>
    <xf numFmtId="0" fontId="26" fillId="0" borderId="82" xfId="0" applyFont="1" applyBorder="1" applyAlignment="1">
      <alignment horizontal="center" vertical="center" wrapText="1"/>
    </xf>
    <xf numFmtId="0" fontId="27" fillId="0" borderId="83" xfId="0" applyFont="1" applyBorder="1" applyAlignment="1">
      <alignment horizontal="center" vertical="center"/>
    </xf>
    <xf numFmtId="0" fontId="0" fillId="0" borderId="21" xfId="42" applyFont="1" applyBorder="1" applyAlignment="1" applyProtection="1">
      <alignment horizontal="left" vertical="center" wrapText="1"/>
      <protection/>
    </xf>
    <xf numFmtId="0" fontId="8" fillId="0" borderId="33" xfId="0" applyFont="1" applyBorder="1" applyAlignment="1">
      <alignment horizontal="left" vertical="center" wrapText="1"/>
    </xf>
    <xf numFmtId="49" fontId="8" fillId="0" borderId="33" xfId="0" applyNumberFormat="1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90" xfId="0" applyFont="1" applyBorder="1" applyAlignment="1">
      <alignment horizontal="center" vertical="center" wrapText="1"/>
    </xf>
    <xf numFmtId="0" fontId="1" fillId="0" borderId="91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0" fillId="0" borderId="74" xfId="42" applyFont="1" applyBorder="1" applyAlignment="1" applyProtection="1">
      <alignment horizontal="left" vertical="center" wrapText="1"/>
      <protection/>
    </xf>
    <xf numFmtId="0" fontId="26" fillId="0" borderId="15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5" xfId="42" applyFont="1" applyFill="1" applyBorder="1" applyAlignment="1" applyProtection="1">
      <alignment horizontal="center" vertical="center" wrapText="1"/>
      <protection/>
    </xf>
    <xf numFmtId="0" fontId="7" fillId="0" borderId="27" xfId="42" applyFont="1" applyFill="1" applyBorder="1" applyAlignment="1" applyProtection="1">
      <alignment horizontal="center" vertical="center" wrapText="1"/>
      <protection/>
    </xf>
    <xf numFmtId="0" fontId="7" fillId="0" borderId="45" xfId="42" applyFont="1" applyFill="1" applyBorder="1" applyAlignment="1" applyProtection="1">
      <alignment horizontal="left" vertical="center" wrapText="1"/>
      <protection/>
    </xf>
    <xf numFmtId="0" fontId="7" fillId="0" borderId="21" xfId="42" applyFont="1" applyFill="1" applyBorder="1" applyAlignment="1" applyProtection="1">
      <alignment horizontal="left" vertical="center" wrapText="1"/>
      <protection/>
    </xf>
    <xf numFmtId="0" fontId="8" fillId="0" borderId="35" xfId="0" applyFont="1" applyBorder="1" applyAlignment="1">
      <alignment horizontal="center" vertical="center" wrapText="1"/>
    </xf>
    <xf numFmtId="0" fontId="7" fillId="0" borderId="20" xfId="42" applyFont="1" applyFill="1" applyBorder="1" applyAlignment="1" applyProtection="1">
      <alignment horizontal="center" vertical="center" wrapText="1"/>
      <protection/>
    </xf>
    <xf numFmtId="0" fontId="7" fillId="0" borderId="34" xfId="42" applyFont="1" applyFill="1" applyBorder="1" applyAlignment="1" applyProtection="1">
      <alignment horizontal="left" vertical="center" wrapText="1"/>
      <protection/>
    </xf>
    <xf numFmtId="0" fontId="14" fillId="0" borderId="0" xfId="42" applyFont="1" applyBorder="1" applyAlignment="1" applyProtection="1">
      <alignment horizontal="center" vertical="center" wrapText="1"/>
      <protection/>
    </xf>
    <xf numFmtId="0" fontId="7" fillId="37" borderId="33" xfId="0" applyFont="1" applyFill="1" applyBorder="1" applyAlignment="1">
      <alignment horizontal="center" vertical="center" wrapText="1"/>
    </xf>
    <xf numFmtId="0" fontId="7" fillId="0" borderId="33" xfId="42" applyFont="1" applyFill="1" applyBorder="1" applyAlignment="1" applyProtection="1">
      <alignment horizontal="left" vertical="center" wrapText="1"/>
      <protection/>
    </xf>
    <xf numFmtId="0" fontId="7" fillId="38" borderId="33" xfId="0" applyFont="1" applyFill="1" applyBorder="1" applyAlignment="1">
      <alignment horizontal="center" vertical="center" wrapText="1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Border="1" applyAlignment="1">
      <alignment horizontal="center"/>
    </xf>
    <xf numFmtId="0" fontId="33" fillId="0" borderId="24" xfId="0" applyFont="1" applyBorder="1" applyAlignment="1" applyProtection="1">
      <alignment horizontal="center" vertical="center" wrapText="1"/>
      <protection hidden="1"/>
    </xf>
    <xf numFmtId="0" fontId="33" fillId="0" borderId="26" xfId="0" applyFont="1" applyBorder="1" applyAlignment="1" applyProtection="1">
      <alignment horizontal="center" vertical="center" wrapText="1"/>
      <protection hidden="1"/>
    </xf>
    <xf numFmtId="0" fontId="3" fillId="39" borderId="44" xfId="0" applyFont="1" applyFill="1" applyBorder="1" applyAlignment="1" applyProtection="1">
      <alignment horizontal="center" vertical="center"/>
      <protection hidden="1" locked="0"/>
    </xf>
    <xf numFmtId="0" fontId="3" fillId="39" borderId="92" xfId="0" applyFont="1" applyFill="1" applyBorder="1" applyAlignment="1" applyProtection="1">
      <alignment horizontal="center" vertical="center"/>
      <protection hidden="1" locked="0"/>
    </xf>
    <xf numFmtId="0" fontId="3" fillId="39" borderId="93" xfId="0" applyFont="1" applyFill="1" applyBorder="1" applyAlignment="1" applyProtection="1">
      <alignment horizontal="center" vertical="center"/>
      <protection hidden="1" locked="0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22" xfId="42" applyFont="1" applyBorder="1" applyAlignment="1" applyProtection="1">
      <alignment horizontal="center" vertical="center" wrapText="1"/>
      <protection/>
    </xf>
    <xf numFmtId="0" fontId="7" fillId="0" borderId="80" xfId="0" applyNumberFormat="1" applyFont="1" applyBorder="1" applyAlignment="1">
      <alignment horizontal="left" vertical="center" wrapText="1"/>
    </xf>
    <xf numFmtId="0" fontId="7" fillId="0" borderId="87" xfId="0" applyNumberFormat="1" applyFont="1" applyBorder="1" applyAlignment="1">
      <alignment horizontal="left" vertical="center" wrapText="1"/>
    </xf>
    <xf numFmtId="0" fontId="33" fillId="0" borderId="24" xfId="0" applyFont="1" applyBorder="1" applyAlignment="1" applyProtection="1">
      <alignment horizontal="center" vertical="center" textRotation="90" wrapText="1"/>
      <protection hidden="1"/>
    </xf>
    <xf numFmtId="0" fontId="33" fillId="0" borderId="26" xfId="0" applyFont="1" applyBorder="1" applyAlignment="1" applyProtection="1">
      <alignment horizontal="center" vertical="center" textRotation="90" wrapText="1"/>
      <protection hidden="1"/>
    </xf>
    <xf numFmtId="0" fontId="33" fillId="0" borderId="24" xfId="0" applyFont="1" applyBorder="1" applyAlignment="1" applyProtection="1">
      <alignment vertical="center" textRotation="90" wrapText="1"/>
      <protection/>
    </xf>
    <xf numFmtId="0" fontId="33" fillId="0" borderId="26" xfId="0" applyFont="1" applyBorder="1" applyAlignment="1" applyProtection="1">
      <alignment vertical="center" textRotation="90" wrapText="1"/>
      <protection/>
    </xf>
    <xf numFmtId="0" fontId="33" fillId="0" borderId="24" xfId="0" applyFont="1" applyBorder="1" applyAlignment="1" applyProtection="1">
      <alignment horizontal="center" vertical="center" wrapText="1"/>
      <protection/>
    </xf>
    <xf numFmtId="0" fontId="33" fillId="0" borderId="26" xfId="0" applyFont="1" applyBorder="1" applyAlignment="1" applyProtection="1">
      <alignment horizontal="center" vertical="center" wrapText="1"/>
      <protection/>
    </xf>
    <xf numFmtId="0" fontId="14" fillId="36" borderId="46" xfId="42" applyFont="1" applyFill="1" applyBorder="1" applyAlignment="1" applyProtection="1">
      <alignment horizontal="center" vertical="center" wrapText="1"/>
      <protection/>
    </xf>
    <xf numFmtId="0" fontId="14" fillId="36" borderId="23" xfId="42" applyFont="1" applyFill="1" applyBorder="1" applyAlignment="1" applyProtection="1">
      <alignment horizontal="center" vertical="center" wrapText="1"/>
      <protection/>
    </xf>
    <xf numFmtId="0" fontId="14" fillId="36" borderId="47" xfId="42" applyFont="1" applyFill="1" applyBorder="1" applyAlignment="1" applyProtection="1">
      <alignment horizontal="center" vertical="center" wrapText="1"/>
      <protection/>
    </xf>
    <xf numFmtId="0" fontId="7" fillId="0" borderId="90" xfId="0" applyFont="1" applyBorder="1" applyAlignment="1">
      <alignment horizontal="center" vertical="center" wrapText="1"/>
    </xf>
    <xf numFmtId="0" fontId="7" fillId="0" borderId="91" xfId="0" applyFont="1" applyBorder="1" applyAlignment="1">
      <alignment horizontal="center" vertical="center" wrapText="1"/>
    </xf>
    <xf numFmtId="0" fontId="7" fillId="0" borderId="79" xfId="0" applyNumberFormat="1" applyFont="1" applyBorder="1" applyAlignment="1">
      <alignment horizontal="left" vertical="center" wrapText="1"/>
    </xf>
    <xf numFmtId="0" fontId="7" fillId="0" borderId="35" xfId="42" applyFont="1" applyFill="1" applyBorder="1" applyAlignment="1" applyProtection="1">
      <alignment horizontal="center" vertical="center" wrapText="1"/>
      <protection/>
    </xf>
    <xf numFmtId="0" fontId="7" fillId="0" borderId="42" xfId="0" applyNumberFormat="1" applyFont="1" applyBorder="1" applyAlignment="1">
      <alignment horizontal="left" vertical="center" wrapText="1"/>
    </xf>
    <xf numFmtId="0" fontId="7" fillId="0" borderId="42" xfId="0" applyNumberFormat="1" applyFont="1" applyBorder="1" applyAlignment="1">
      <alignment horizontal="center" vertical="center" wrapText="1"/>
    </xf>
    <xf numFmtId="0" fontId="7" fillId="0" borderId="76" xfId="0" applyFont="1" applyBorder="1" applyAlignment="1">
      <alignment horizontal="center" vertical="center" wrapText="1"/>
    </xf>
    <xf numFmtId="0" fontId="7" fillId="0" borderId="89" xfId="42" applyFont="1" applyFill="1" applyBorder="1" applyAlignment="1" applyProtection="1">
      <alignment horizontal="center" vertical="center" wrapText="1"/>
      <protection/>
    </xf>
    <xf numFmtId="0" fontId="7" fillId="0" borderId="73" xfId="0" applyNumberFormat="1" applyFont="1" applyBorder="1" applyAlignment="1">
      <alignment horizontal="center" vertical="center" wrapText="1"/>
    </xf>
    <xf numFmtId="0" fontId="7" fillId="0" borderId="73" xfId="0" applyNumberFormat="1" applyFont="1" applyBorder="1" applyAlignment="1">
      <alignment horizontal="left" vertical="center" wrapText="1"/>
    </xf>
    <xf numFmtId="49" fontId="8" fillId="0" borderId="42" xfId="0" applyNumberFormat="1" applyFont="1" applyBorder="1" applyAlignment="1">
      <alignment horizontal="center" vertical="center" wrapText="1"/>
    </xf>
    <xf numFmtId="49" fontId="8" fillId="0" borderId="48" xfId="0" applyNumberFormat="1" applyFont="1" applyBorder="1" applyAlignment="1">
      <alignment horizontal="center" vertical="center" wrapText="1"/>
    </xf>
    <xf numFmtId="0" fontId="29" fillId="0" borderId="42" xfId="0" applyFont="1" applyBorder="1" applyAlignment="1">
      <alignment horizontal="center" vertical="center" wrapText="1"/>
    </xf>
    <xf numFmtId="0" fontId="29" fillId="0" borderId="48" xfId="0" applyFont="1" applyBorder="1" applyAlignment="1">
      <alignment horizontal="center" vertical="center" wrapText="1"/>
    </xf>
    <xf numFmtId="0" fontId="7" fillId="0" borderId="48" xfId="0" applyNumberFormat="1" applyFont="1" applyBorder="1" applyAlignment="1">
      <alignment horizontal="left" vertical="center" wrapText="1"/>
    </xf>
    <xf numFmtId="0" fontId="7" fillId="0" borderId="48" xfId="0" applyNumberFormat="1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7" fillId="0" borderId="88" xfId="42" applyFont="1" applyFill="1" applyBorder="1" applyAlignment="1" applyProtection="1">
      <alignment horizontal="center" vertical="center" wrapText="1"/>
      <protection/>
    </xf>
    <xf numFmtId="0" fontId="7" fillId="0" borderId="74" xfId="0" applyNumberFormat="1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94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29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30" fillId="0" borderId="49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40" xfId="0" applyNumberFormat="1" applyFont="1" applyBorder="1" applyAlignment="1">
      <alignment horizontal="left" vertical="center" wrapText="1"/>
    </xf>
    <xf numFmtId="0" fontId="7" fillId="0" borderId="40" xfId="0" applyNumberFormat="1" applyFont="1" applyBorder="1" applyAlignment="1">
      <alignment horizontal="center" vertical="center" wrapText="1"/>
    </xf>
    <xf numFmtId="0" fontId="23" fillId="0" borderId="49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94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51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49" xfId="0" applyFont="1" applyBorder="1" applyAlignment="1">
      <alignment horizontal="center" vertical="center" wrapText="1"/>
    </xf>
    <xf numFmtId="0" fontId="19" fillId="0" borderId="50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22" fillId="40" borderId="28" xfId="0" applyFont="1" applyFill="1" applyBorder="1" applyAlignment="1">
      <alignment horizontal="center" vertical="center"/>
    </xf>
    <xf numFmtId="0" fontId="22" fillId="40" borderId="10" xfId="0" applyFont="1" applyFill="1" applyBorder="1" applyAlignment="1">
      <alignment horizontal="center" vertical="center"/>
    </xf>
    <xf numFmtId="0" fontId="22" fillId="40" borderId="29" xfId="0" applyFont="1" applyFill="1" applyBorder="1" applyAlignment="1">
      <alignment horizontal="center" vertical="center"/>
    </xf>
    <xf numFmtId="0" fontId="11" fillId="0" borderId="50" xfId="0" applyFont="1" applyBorder="1" applyAlignment="1">
      <alignment horizontal="center" vertical="center" wrapText="1"/>
    </xf>
    <xf numFmtId="0" fontId="11" fillId="0" borderId="94" xfId="0" applyFont="1" applyBorder="1" applyAlignment="1">
      <alignment horizontal="center" vertical="center" wrapText="1"/>
    </xf>
    <xf numFmtId="0" fontId="0" fillId="0" borderId="49" xfId="42" applyFont="1" applyBorder="1" applyAlignment="1" applyProtection="1">
      <alignment horizontal="center" vertical="center" wrapText="1"/>
      <protection/>
    </xf>
    <xf numFmtId="0" fontId="19" fillId="0" borderId="0" xfId="0" applyFont="1" applyAlignment="1">
      <alignment horizontal="center" vertical="center"/>
    </xf>
    <xf numFmtId="0" fontId="22" fillId="38" borderId="28" xfId="0" applyFont="1" applyFill="1" applyBorder="1" applyAlignment="1">
      <alignment horizontal="center" vertical="center"/>
    </xf>
    <xf numFmtId="0" fontId="22" fillId="38" borderId="10" xfId="0" applyFont="1" applyFill="1" applyBorder="1" applyAlignment="1">
      <alignment horizontal="center" vertical="center"/>
    </xf>
    <xf numFmtId="0" fontId="22" fillId="38" borderId="29" xfId="0" applyFont="1" applyFill="1" applyBorder="1" applyAlignment="1">
      <alignment horizontal="center" vertical="center"/>
    </xf>
    <xf numFmtId="0" fontId="22" fillId="37" borderId="28" xfId="0" applyFont="1" applyFill="1" applyBorder="1" applyAlignment="1">
      <alignment horizontal="center" vertical="center"/>
    </xf>
    <xf numFmtId="0" fontId="22" fillId="37" borderId="10" xfId="0" applyFont="1" applyFill="1" applyBorder="1" applyAlignment="1">
      <alignment horizontal="center" vertical="center"/>
    </xf>
    <xf numFmtId="0" fontId="22" fillId="37" borderId="29" xfId="0" applyFont="1" applyFill="1" applyBorder="1" applyAlignment="1">
      <alignment horizontal="center" vertical="center"/>
    </xf>
    <xf numFmtId="0" fontId="21" fillId="38" borderId="0" xfId="42" applyFont="1" applyFill="1" applyBorder="1" applyAlignment="1" applyProtection="1">
      <alignment horizontal="center" vertical="center"/>
      <protection/>
    </xf>
    <xf numFmtId="0" fontId="21" fillId="38" borderId="94" xfId="42" applyFont="1" applyFill="1" applyBorder="1" applyAlignment="1" applyProtection="1">
      <alignment horizontal="center" vertical="center"/>
      <protection/>
    </xf>
    <xf numFmtId="0" fontId="10" fillId="0" borderId="52" xfId="0" applyFont="1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center" wrapText="1"/>
    </xf>
    <xf numFmtId="0" fontId="7" fillId="0" borderId="24" xfId="42" applyFont="1" applyBorder="1" applyAlignment="1" applyProtection="1">
      <alignment horizontal="left" vertical="center" wrapText="1"/>
      <protection/>
    </xf>
    <xf numFmtId="0" fontId="7" fillId="0" borderId="43" xfId="42" applyFont="1" applyBorder="1" applyAlignment="1" applyProtection="1">
      <alignment horizontal="left" vertical="center" wrapText="1"/>
      <protection/>
    </xf>
    <xf numFmtId="0" fontId="5" fillId="0" borderId="0" xfId="42" applyAlignment="1" applyProtection="1">
      <alignment horizontal="center" vertical="center" wrapText="1"/>
      <protection/>
    </xf>
    <xf numFmtId="0" fontId="4" fillId="0" borderId="0" xfId="0" applyFont="1" applyAlignment="1">
      <alignment horizontal="center" vertical="center" wrapText="1"/>
    </xf>
    <xf numFmtId="0" fontId="6" fillId="0" borderId="0" xfId="42" applyFont="1" applyFill="1" applyBorder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0" fillId="0" borderId="54" xfId="0" applyFont="1" applyBorder="1" applyAlignment="1">
      <alignment horizontal="center" vertical="center" wrapText="1"/>
    </xf>
    <xf numFmtId="0" fontId="7" fillId="0" borderId="95" xfId="42" applyFont="1" applyBorder="1" applyAlignment="1" applyProtection="1">
      <alignment horizontal="left" vertical="center" wrapText="1"/>
      <protection/>
    </xf>
    <xf numFmtId="0" fontId="7" fillId="0" borderId="26" xfId="42" applyFont="1" applyBorder="1" applyAlignment="1" applyProtection="1">
      <alignment horizontal="left" vertical="center" wrapText="1"/>
      <protection/>
    </xf>
    <xf numFmtId="0" fontId="10" fillId="0" borderId="30" xfId="0" applyFont="1" applyBorder="1" applyAlignment="1">
      <alignment horizontal="center" vertical="center" wrapText="1"/>
    </xf>
    <xf numFmtId="0" fontId="7" fillId="0" borderId="40" xfId="42" applyFont="1" applyBorder="1" applyAlignment="1" applyProtection="1">
      <alignment horizontal="left" vertical="center" wrapText="1"/>
      <protection/>
    </xf>
    <xf numFmtId="0" fontId="7" fillId="0" borderId="42" xfId="0" applyFont="1" applyBorder="1" applyAlignment="1">
      <alignment horizontal="left" vertical="center" wrapText="1"/>
    </xf>
    <xf numFmtId="0" fontId="6" fillId="0" borderId="0" xfId="42" applyFont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7" fillId="0" borderId="42" xfId="42" applyFont="1" applyBorder="1" applyAlignment="1" applyProtection="1">
      <alignment horizontal="left" vertical="center" wrapText="1"/>
      <protection/>
    </xf>
    <xf numFmtId="0" fontId="7" fillId="0" borderId="48" xfId="0" applyFont="1" applyBorder="1" applyAlignment="1">
      <alignment horizontal="left" vertical="center" wrapText="1"/>
    </xf>
    <xf numFmtId="0" fontId="10" fillId="0" borderId="41" xfId="0" applyFont="1" applyBorder="1" applyAlignment="1">
      <alignment horizontal="center" vertical="center" wrapText="1"/>
    </xf>
    <xf numFmtId="49" fontId="7" fillId="0" borderId="42" xfId="0" applyNumberFormat="1" applyFont="1" applyBorder="1" applyAlignment="1">
      <alignment horizontal="center" vertical="center" wrapText="1"/>
    </xf>
    <xf numFmtId="49" fontId="7" fillId="0" borderId="95" xfId="0" applyNumberFormat="1" applyFont="1" applyBorder="1" applyAlignment="1">
      <alignment horizontal="center" vertical="center" wrapText="1"/>
    </xf>
    <xf numFmtId="49" fontId="7" fillId="0" borderId="43" xfId="0" applyNumberFormat="1" applyFont="1" applyBorder="1" applyAlignment="1">
      <alignment horizontal="center" vertical="center" wrapText="1"/>
    </xf>
    <xf numFmtId="49" fontId="7" fillId="0" borderId="42" xfId="0" applyNumberFormat="1" applyFont="1" applyBorder="1" applyAlignment="1" applyProtection="1">
      <alignment horizontal="center" vertical="center" wrapText="1"/>
      <protection/>
    </xf>
    <xf numFmtId="0" fontId="78" fillId="0" borderId="74" xfId="0" applyNumberFormat="1" applyFont="1" applyBorder="1" applyAlignment="1">
      <alignment horizontal="left" vertical="center" wrapText="1"/>
    </xf>
    <xf numFmtId="0" fontId="78" fillId="0" borderId="33" xfId="0" applyNumberFormat="1" applyFont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1</xdr:col>
      <xdr:colOff>266700</xdr:colOff>
      <xdr:row>2</xdr:row>
      <xdr:rowOff>66675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5238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123825</xdr:rowOff>
    </xdr:from>
    <xdr:to>
      <xdr:col>1</xdr:col>
      <xdr:colOff>561975</xdr:colOff>
      <xdr:row>2</xdr:row>
      <xdr:rowOff>104775</xdr:rowOff>
    </xdr:to>
    <xdr:pic>
      <xdr:nvPicPr>
        <xdr:cNvPr id="1" name="Picture 5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238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104775</xdr:rowOff>
    </xdr:from>
    <xdr:to>
      <xdr:col>1</xdr:col>
      <xdr:colOff>161925</xdr:colOff>
      <xdr:row>2</xdr:row>
      <xdr:rowOff>9525</xdr:rowOff>
    </xdr:to>
    <xdr:pic>
      <xdr:nvPicPr>
        <xdr:cNvPr id="1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04775"/>
          <a:ext cx="495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0</xdr:rowOff>
    </xdr:from>
    <xdr:to>
      <xdr:col>1</xdr:col>
      <xdr:colOff>180975</xdr:colOff>
      <xdr:row>1</xdr:row>
      <xdr:rowOff>123825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0</xdr:row>
      <xdr:rowOff>0</xdr:rowOff>
    </xdr:from>
    <xdr:to>
      <xdr:col>1</xdr:col>
      <xdr:colOff>200025</xdr:colOff>
      <xdr:row>1</xdr:row>
      <xdr:rowOff>123825</xdr:rowOff>
    </xdr:to>
    <xdr:pic>
      <xdr:nvPicPr>
        <xdr:cNvPr id="2" name="Picture 3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3429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0</xdr:rowOff>
    </xdr:from>
    <xdr:to>
      <xdr:col>1</xdr:col>
      <xdr:colOff>266700</xdr:colOff>
      <xdr:row>1</xdr:row>
      <xdr:rowOff>123825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4000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89;&#1072;&#1084;&#1073;&#1086;\Downloads\&#1058;&#1088;&#1077;&#1089;&#1082;&#1080;&#1085;&#1057;&#1052;\&#1055;&#1088;&#1086;&#1090;&#1086;&#1082;&#1086;&#1083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 (2)"/>
      <sheetName val="регистрация 1"/>
      <sheetName val="реквизиты"/>
      <sheetName val="регистрация"/>
    </sheetNames>
    <sheetDataSet>
      <sheetData sheetId="2">
        <row r="6">
          <cell r="A6" t="str">
            <v>Гл. судья, судья МК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России по  САМБО среди мужчин.</v>
          </cell>
        </row>
        <row r="3">
          <cell r="A3" t="str">
            <v>4-8 марта 2016.                                                         г.Химки</v>
          </cell>
        </row>
        <row r="7">
          <cell r="G7" t="str">
            <v>Р.М.Бабоян</v>
          </cell>
        </row>
        <row r="8">
          <cell r="A8" t="str">
            <v>Гл. секретарь, судья МК</v>
          </cell>
          <cell r="G8" t="str">
            <v>/г.Армавир/</v>
          </cell>
        </row>
        <row r="9">
          <cell r="G9" t="str">
            <v>Р.М.Закиров</v>
          </cell>
        </row>
        <row r="10">
          <cell r="G10" t="str">
            <v>/г.Пермь/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BQ145"/>
  <sheetViews>
    <sheetView zoomScalePageLayoutView="0" workbookViewId="0" topLeftCell="A34">
      <selection activeCell="B7" sqref="B7:H72"/>
    </sheetView>
  </sheetViews>
  <sheetFormatPr defaultColWidth="9.140625" defaultRowHeight="12.75"/>
  <cols>
    <col min="1" max="1" width="4.57421875" style="0" customWidth="1"/>
    <col min="2" max="2" width="5.421875" style="0" customWidth="1"/>
    <col min="3" max="3" width="25.28125" style="0" customWidth="1"/>
    <col min="4" max="4" width="13.8515625" style="0" customWidth="1"/>
    <col min="5" max="5" width="5.28125" style="0" customWidth="1"/>
    <col min="6" max="6" width="15.140625" style="0" customWidth="1"/>
    <col min="7" max="7" width="7.57421875" style="0" customWidth="1"/>
    <col min="8" max="8" width="22.28125" style="0" customWidth="1"/>
    <col min="10" max="10" width="3.00390625" style="0" customWidth="1"/>
    <col min="13" max="19" width="9.140625" style="0" customWidth="1"/>
    <col min="20" max="20" width="16.57421875" style="0" customWidth="1"/>
  </cols>
  <sheetData>
    <row r="1" spans="1:8" ht="21.75" customHeight="1" thickBot="1">
      <c r="A1" s="347" t="s">
        <v>29</v>
      </c>
      <c r="B1" s="347"/>
      <c r="C1" s="347"/>
      <c r="D1" s="347"/>
      <c r="E1" s="347"/>
      <c r="F1" s="347"/>
      <c r="G1" s="347"/>
      <c r="H1" s="347"/>
    </row>
    <row r="2" spans="2:9" ht="19.5" customHeight="1" thickBot="1">
      <c r="B2" s="348" t="s">
        <v>32</v>
      </c>
      <c r="C2" s="348"/>
      <c r="D2" s="349" t="str">
        <f>'[2]реквизиты'!$A$2</f>
        <v>Чемпионат России по  САМБО среди мужчин.</v>
      </c>
      <c r="E2" s="350"/>
      <c r="F2" s="350"/>
      <c r="G2" s="350"/>
      <c r="H2" s="351"/>
      <c r="I2" s="178"/>
    </row>
    <row r="3" spans="1:8" ht="19.5" customHeight="1">
      <c r="A3" s="264" t="str">
        <f>'[2]реквизиты'!$A$3</f>
        <v>4-8 марта 2016.                                                         г.Химки</v>
      </c>
      <c r="B3" s="264"/>
      <c r="C3" s="264"/>
      <c r="D3" s="264"/>
      <c r="E3" s="264"/>
      <c r="F3" s="264"/>
      <c r="G3" s="264"/>
      <c r="H3" s="264"/>
    </row>
    <row r="4" spans="4:5" ht="12.75" customHeight="1">
      <c r="D4" s="265" t="s">
        <v>269</v>
      </c>
      <c r="E4" s="265"/>
    </row>
    <row r="5" spans="1:20" ht="12.75" customHeight="1">
      <c r="A5" s="273" t="s">
        <v>2</v>
      </c>
      <c r="B5" s="312" t="s">
        <v>3</v>
      </c>
      <c r="C5" s="273" t="s">
        <v>4</v>
      </c>
      <c r="D5" s="273" t="s">
        <v>5</v>
      </c>
      <c r="E5" s="267" t="s">
        <v>6</v>
      </c>
      <c r="F5" s="268"/>
      <c r="G5" s="273" t="s">
        <v>8</v>
      </c>
      <c r="H5" s="273" t="s">
        <v>7</v>
      </c>
      <c r="O5" s="266"/>
      <c r="P5" s="266"/>
      <c r="Q5" s="266"/>
      <c r="R5" s="179"/>
      <c r="S5" s="180"/>
      <c r="T5" s="180"/>
    </row>
    <row r="6" spans="1:25" ht="12.75" customHeight="1">
      <c r="A6" s="274"/>
      <c r="B6" s="313"/>
      <c r="C6" s="274"/>
      <c r="D6" s="274"/>
      <c r="E6" s="269"/>
      <c r="F6" s="270"/>
      <c r="G6" s="274"/>
      <c r="H6" s="274"/>
      <c r="J6" s="171"/>
      <c r="K6" s="171"/>
      <c r="L6" s="171"/>
      <c r="M6" s="171"/>
      <c r="N6" s="181"/>
      <c r="O6" s="181" t="s">
        <v>72</v>
      </c>
      <c r="P6" s="181" t="s">
        <v>73</v>
      </c>
      <c r="Q6" s="182" t="s">
        <v>74</v>
      </c>
      <c r="R6" s="183" t="s">
        <v>75</v>
      </c>
      <c r="S6" s="184"/>
      <c r="T6" s="171"/>
      <c r="U6" s="185" t="s">
        <v>72</v>
      </c>
      <c r="V6" s="185" t="s">
        <v>73</v>
      </c>
      <c r="W6" s="186" t="s">
        <v>74</v>
      </c>
      <c r="X6" s="186" t="s">
        <v>75</v>
      </c>
      <c r="Y6" s="171"/>
    </row>
    <row r="7" spans="1:25" ht="12.75" customHeight="1">
      <c r="A7" s="285">
        <v>1</v>
      </c>
      <c r="B7" s="301">
        <v>1</v>
      </c>
      <c r="C7" s="296" t="s">
        <v>158</v>
      </c>
      <c r="D7" s="276" t="s">
        <v>159</v>
      </c>
      <c r="E7" s="271" t="s">
        <v>92</v>
      </c>
      <c r="F7" s="275" t="s">
        <v>94</v>
      </c>
      <c r="G7" s="276"/>
      <c r="H7" s="296" t="s">
        <v>160</v>
      </c>
      <c r="J7" s="260">
        <v>1</v>
      </c>
      <c r="K7" s="261" t="str">
        <f>_xlfn.IFERROR(RIGHT(D7,LEN(D7)-FIND("*",SUBSTITUTE(D7," ","*",LEN(D7)-LEN(SUBSTITUTE(D7," ",""))))),D7)</f>
        <v>КМС</v>
      </c>
      <c r="L7" s="262" t="str">
        <f>_xlfn.IFERROR(LEFT(F7,FIND(",",F7)-1),F7)</f>
        <v>Москва</v>
      </c>
      <c r="M7" s="187">
        <v>1</v>
      </c>
      <c r="N7" s="181" t="str">
        <f>L7</f>
        <v>Москва</v>
      </c>
      <c r="O7" s="188">
        <f>_xlfn.SUMIFS($J$7:$J$134,$L$7:$L$134,N7,$K$7:$K$134,O$6)</f>
        <v>2</v>
      </c>
      <c r="P7" s="188">
        <f>_xlfn.SUMIFS($J$7:$J$134,$L$7:$L$134,N7,$K$7:$K$134,P$6)</f>
        <v>2</v>
      </c>
      <c r="Q7" s="189">
        <f>_xlfn.SUMIFS($J$7:$J$134,$L$7:$L$134,N7,$K$7:$K$134,Q$6)</f>
        <v>2</v>
      </c>
      <c r="R7" s="189">
        <f>_xlfn.SUMIFS($J$7:$J$134,$L$7:$L$134,N7,$K$7:$K$134,R$6)</f>
        <v>0</v>
      </c>
      <c r="S7" s="190"/>
      <c r="T7" s="191" t="str">
        <f>N7</f>
        <v>Москва</v>
      </c>
      <c r="U7" s="185">
        <f>IF(O7=0," ",O7)</f>
        <v>2</v>
      </c>
      <c r="V7" s="185">
        <f>IF(P7=0," ",P7)</f>
        <v>2</v>
      </c>
      <c r="W7" s="185">
        <f>IF(Q7=0," ",Q7)</f>
        <v>2</v>
      </c>
      <c r="X7" s="185" t="str">
        <f>IF(R7=0," ",R7)</f>
        <v> </v>
      </c>
      <c r="Y7" s="171"/>
    </row>
    <row r="8" spans="1:25" ht="15" customHeight="1">
      <c r="A8" s="286"/>
      <c r="B8" s="301"/>
      <c r="C8" s="296"/>
      <c r="D8" s="276"/>
      <c r="E8" s="272"/>
      <c r="F8" s="275"/>
      <c r="G8" s="276"/>
      <c r="H8" s="296"/>
      <c r="J8" s="260"/>
      <c r="K8" s="261"/>
      <c r="L8" s="263"/>
      <c r="M8" s="187">
        <v>2</v>
      </c>
      <c r="N8" s="181" t="str">
        <f>L9</f>
        <v>Московская</v>
      </c>
      <c r="O8" s="188">
        <f>_xlfn.SUMIFS($J$7:$J$134,$L$7:$L$134,N8,$K$7:$K$134,O$6)</f>
        <v>1</v>
      </c>
      <c r="P8" s="188">
        <f>_xlfn.SUMIFS($J$7:$J$134,$L$7:$L$134,N8,$K$7:$K$134,P$6)</f>
        <v>2</v>
      </c>
      <c r="Q8" s="189">
        <f>_xlfn.SUMIFS($J$7:$J$134,$L$7:$L$134,N8,$K$7:$K$134,Q$6)</f>
        <v>0</v>
      </c>
      <c r="R8" s="189">
        <f>_xlfn.SUMIFS($J$7:$J$134,$L$7:$L$134,N8,$K$7:$K$134,R$6)</f>
        <v>0</v>
      </c>
      <c r="S8" s="192"/>
      <c r="T8" s="185" t="str">
        <f aca="true" t="shared" si="0" ref="T8:T22">N8</f>
        <v>Московская</v>
      </c>
      <c r="U8" s="185">
        <f aca="true" t="shared" si="1" ref="U8:X22">IF(O8=0," ",O8)</f>
        <v>1</v>
      </c>
      <c r="V8" s="185">
        <f t="shared" si="1"/>
        <v>2</v>
      </c>
      <c r="W8" s="185" t="str">
        <f t="shared" si="1"/>
        <v> </v>
      </c>
      <c r="X8" s="185" t="str">
        <f t="shared" si="1"/>
        <v> </v>
      </c>
      <c r="Y8" s="171"/>
    </row>
    <row r="9" spans="1:25" ht="12.75" customHeight="1">
      <c r="A9" s="285">
        <v>2</v>
      </c>
      <c r="B9" s="287">
        <v>2</v>
      </c>
      <c r="C9" s="288" t="s">
        <v>274</v>
      </c>
      <c r="D9" s="282" t="s">
        <v>255</v>
      </c>
      <c r="E9" s="271" t="s">
        <v>110</v>
      </c>
      <c r="F9" s="291" t="s">
        <v>256</v>
      </c>
      <c r="G9" s="300"/>
      <c r="H9" s="288" t="s">
        <v>257</v>
      </c>
      <c r="J9" s="260">
        <v>1</v>
      </c>
      <c r="K9" s="261" t="str">
        <f>_xlfn.IFERROR(RIGHT(D9,LEN(D9)-FIND("*",SUBSTITUTE(D9," ","*",LEN(D9)-LEN(SUBSTITUTE(D9," ",""))))),D9)</f>
        <v>мс</v>
      </c>
      <c r="L9" s="262" t="str">
        <f>_xlfn.IFERROR(LEFT(F9,FIND(",",F9)-1),F9)</f>
        <v>Московская</v>
      </c>
      <c r="M9" s="187">
        <v>3</v>
      </c>
      <c r="N9" s="181" t="str">
        <f>L11</f>
        <v>Краснодарский</v>
      </c>
      <c r="O9" s="188">
        <f>_xlfn.SUMIFS($J$7:$J$134,$L$7:$L$134,N9,$K$7:$K$134,O$6)</f>
        <v>5</v>
      </c>
      <c r="P9" s="188">
        <f>_xlfn.SUMIFS($J$7:$J$134,$L$7:$L$134,N9,$K$7:$K$134,P$6)</f>
        <v>0</v>
      </c>
      <c r="Q9" s="189">
        <f>_xlfn.SUMIFS($J$7:$J$134,$L$7:$L$134,N9,$K$7:$K$134,Q$6)</f>
        <v>0</v>
      </c>
      <c r="R9" s="189">
        <f>_xlfn.SUMIFS($J$7:$J$134,$L$7:$L$134,N9,$K$7:$K$134,R$6)</f>
        <v>0</v>
      </c>
      <c r="S9" s="192"/>
      <c r="T9" s="185" t="str">
        <f t="shared" si="0"/>
        <v>Краснодарский</v>
      </c>
      <c r="U9" s="185">
        <f t="shared" si="1"/>
        <v>5</v>
      </c>
      <c r="V9" s="185" t="str">
        <f t="shared" si="1"/>
        <v> </v>
      </c>
      <c r="W9" s="185" t="str">
        <f t="shared" si="1"/>
        <v> </v>
      </c>
      <c r="X9" s="185" t="str">
        <f t="shared" si="1"/>
        <v> </v>
      </c>
      <c r="Y9" s="171"/>
    </row>
    <row r="10" spans="1:25" ht="15" customHeight="1">
      <c r="A10" s="286"/>
      <c r="B10" s="287"/>
      <c r="C10" s="288"/>
      <c r="D10" s="282"/>
      <c r="E10" s="272"/>
      <c r="F10" s="291"/>
      <c r="G10" s="300"/>
      <c r="H10" s="288"/>
      <c r="J10" s="260"/>
      <c r="K10" s="261"/>
      <c r="L10" s="263"/>
      <c r="M10" s="187">
        <v>4</v>
      </c>
      <c r="N10" s="181" t="str">
        <f>L13</f>
        <v>Москва</v>
      </c>
      <c r="O10" s="188">
        <f>_xlfn.SUMIFS($J$7:$J$134,$L$7:$L$134,N10,$K$7:$K$134,O$6)</f>
        <v>2</v>
      </c>
      <c r="P10" s="188">
        <f>_xlfn.SUMIFS($J$7:$J$134,$L$7:$L$134,N10,$K$7:$K$134,P$6)</f>
        <v>2</v>
      </c>
      <c r="Q10" s="189">
        <f>_xlfn.SUMIFS($J$7:$J$134,$L$7:$L$134,N10,$K$7:$K$134,Q$6)</f>
        <v>2</v>
      </c>
      <c r="R10" s="189">
        <f>_xlfn.SUMIFS($J$7:$J$134,$L$7:$L$134,N10,$K$7:$K$134,R$6)</f>
        <v>0</v>
      </c>
      <c r="S10" s="184"/>
      <c r="T10" s="185" t="str">
        <f t="shared" si="0"/>
        <v>Москва</v>
      </c>
      <c r="U10" s="185">
        <f t="shared" si="1"/>
        <v>2</v>
      </c>
      <c r="V10" s="185">
        <f t="shared" si="1"/>
        <v>2</v>
      </c>
      <c r="W10" s="185">
        <f t="shared" si="1"/>
        <v>2</v>
      </c>
      <c r="X10" s="185" t="str">
        <f t="shared" si="1"/>
        <v> </v>
      </c>
      <c r="Y10" s="171"/>
    </row>
    <row r="11" spans="1:25" ht="15" customHeight="1">
      <c r="A11" s="285">
        <v>3</v>
      </c>
      <c r="B11" s="287">
        <v>3</v>
      </c>
      <c r="C11" s="288" t="s">
        <v>266</v>
      </c>
      <c r="D11" s="289" t="s">
        <v>267</v>
      </c>
      <c r="E11" s="278" t="s">
        <v>142</v>
      </c>
      <c r="F11" s="297" t="s">
        <v>264</v>
      </c>
      <c r="G11" s="300"/>
      <c r="H11" s="288" t="s">
        <v>268</v>
      </c>
      <c r="J11" s="260">
        <v>1</v>
      </c>
      <c r="K11" s="261" t="str">
        <f>_xlfn.IFERROR(RIGHT(D11,LEN(D11)-FIND("*",SUBSTITUTE(D11," ","*",LEN(D11)-LEN(SUBSTITUTE(D11," ",""))))),D11)</f>
        <v>КМС</v>
      </c>
      <c r="L11" s="262" t="str">
        <f>_xlfn.IFERROR(LEFT(F11,FIND(",",F11)-1),F11)</f>
        <v>Краснодарский</v>
      </c>
      <c r="M11" s="187">
        <v>5</v>
      </c>
      <c r="N11" s="181" t="str">
        <f>L15</f>
        <v>Свердловская</v>
      </c>
      <c r="O11" s="188">
        <f>_xlfn.SUMIFS($J$7:$J$134,$L$7:$L$134,N11,$K$7:$K$134,O$6)</f>
        <v>0</v>
      </c>
      <c r="P11" s="188">
        <f>_xlfn.SUMIFS($J$7:$J$134,$L$7:$L$134,N11,$K$7:$K$134,P$6)</f>
        <v>3</v>
      </c>
      <c r="Q11" s="189">
        <f>_xlfn.SUMIFS($J$7:$J$134,$L$7:$L$134,N11,$K$7:$K$134,Q$6)</f>
        <v>2</v>
      </c>
      <c r="R11" s="189">
        <f>_xlfn.SUMIFS($J$7:$J$134,$L$7:$L$134,N11,$K$7:$K$134,R$6)</f>
        <v>0</v>
      </c>
      <c r="S11" s="192"/>
      <c r="T11" s="185" t="str">
        <f t="shared" si="0"/>
        <v>Свердловская</v>
      </c>
      <c r="U11" s="185" t="str">
        <f t="shared" si="1"/>
        <v> </v>
      </c>
      <c r="V11" s="185">
        <f t="shared" si="1"/>
        <v>3</v>
      </c>
      <c r="W11" s="185">
        <f t="shared" si="1"/>
        <v>2</v>
      </c>
      <c r="X11" s="185" t="str">
        <f t="shared" si="1"/>
        <v> </v>
      </c>
      <c r="Y11" s="171"/>
    </row>
    <row r="12" spans="1:25" ht="15.75" customHeight="1">
      <c r="A12" s="286"/>
      <c r="B12" s="287"/>
      <c r="C12" s="288"/>
      <c r="D12" s="290"/>
      <c r="E12" s="279"/>
      <c r="F12" s="297"/>
      <c r="G12" s="300"/>
      <c r="H12" s="290"/>
      <c r="J12" s="260"/>
      <c r="K12" s="261"/>
      <c r="L12" s="263"/>
      <c r="M12" s="187">
        <v>6</v>
      </c>
      <c r="N12" s="181" t="str">
        <f>L17</f>
        <v>г. Москва</v>
      </c>
      <c r="O12" s="188">
        <f>_xlfn.SUMIFS($J$7:$J$134,$L$7:$L$134,N12,$K$7:$K$134,O$6)</f>
        <v>0</v>
      </c>
      <c r="P12" s="188">
        <f>_xlfn.SUMIFS($J$7:$J$134,$L$7:$L$134,N12,$K$7:$K$134,P$6)</f>
        <v>0</v>
      </c>
      <c r="Q12" s="189">
        <f>_xlfn.SUMIFS($J$7:$J$134,$L$7:$L$134,N12,$K$7:$K$134,Q$6)</f>
        <v>1</v>
      </c>
      <c r="R12" s="189">
        <f>_xlfn.SUMIFS($J$7:$J$134,$L$7:$L$134,N12,$K$7:$K$134,R$6)</f>
        <v>0</v>
      </c>
      <c r="S12" s="184"/>
      <c r="T12" s="185" t="str">
        <f t="shared" si="0"/>
        <v>г. Москва</v>
      </c>
      <c r="U12" s="185" t="str">
        <f t="shared" si="1"/>
        <v> </v>
      </c>
      <c r="V12" s="185" t="str">
        <f t="shared" si="1"/>
        <v> </v>
      </c>
      <c r="W12" s="185">
        <f t="shared" si="1"/>
        <v>1</v>
      </c>
      <c r="X12" s="185" t="str">
        <f t="shared" si="1"/>
        <v> </v>
      </c>
      <c r="Y12" s="171"/>
    </row>
    <row r="13" spans="1:25" ht="12.75" customHeight="1">
      <c r="A13" s="285">
        <v>4</v>
      </c>
      <c r="B13" s="301">
        <v>4</v>
      </c>
      <c r="C13" s="288" t="s">
        <v>168</v>
      </c>
      <c r="D13" s="289" t="s">
        <v>169</v>
      </c>
      <c r="E13" s="271" t="s">
        <v>92</v>
      </c>
      <c r="F13" s="275" t="s">
        <v>95</v>
      </c>
      <c r="G13" s="300"/>
      <c r="H13" s="288" t="s">
        <v>170</v>
      </c>
      <c r="J13" s="260">
        <v>1</v>
      </c>
      <c r="K13" s="261" t="str">
        <f>_xlfn.IFERROR(RIGHT(D13,LEN(D13)-FIND("*",SUBSTITUTE(D13," ","*",LEN(D13)-LEN(SUBSTITUTE(D13," ",""))))),D13)</f>
        <v>МСМК</v>
      </c>
      <c r="L13" s="262" t="str">
        <f>_xlfn.IFERROR(LEFT(F13,FIND(",",F13)-1),F13)</f>
        <v>Москва</v>
      </c>
      <c r="M13" s="187">
        <v>7</v>
      </c>
      <c r="N13" s="181" t="str">
        <f>L19</f>
        <v>КЧР</v>
      </c>
      <c r="O13" s="188">
        <f>_xlfn.SUMIFS($J$7:$J$134,$L$7:$L$134,N13,$K$7:$K$134,O$6)</f>
        <v>0</v>
      </c>
      <c r="P13" s="188">
        <f>_xlfn.SUMIFS($J$7:$J$134,$L$7:$L$134,N13,$K$7:$K$134,P$6)</f>
        <v>1</v>
      </c>
      <c r="Q13" s="189">
        <f>_xlfn.SUMIFS($J$7:$J$134,$L$7:$L$134,N13,$K$7:$K$134,Q$6)</f>
        <v>0</v>
      </c>
      <c r="R13" s="189">
        <f>_xlfn.SUMIFS($J$7:$J$134,$L$7:$L$134,N13,$K$7:$K$134,R$6)</f>
        <v>0</v>
      </c>
      <c r="S13" s="192"/>
      <c r="T13" s="185" t="str">
        <f t="shared" si="0"/>
        <v>КЧР</v>
      </c>
      <c r="U13" s="185" t="str">
        <f t="shared" si="1"/>
        <v> </v>
      </c>
      <c r="V13" s="185">
        <f t="shared" si="1"/>
        <v>1</v>
      </c>
      <c r="W13" s="185" t="str">
        <f t="shared" si="1"/>
        <v> </v>
      </c>
      <c r="X13" s="185" t="str">
        <f t="shared" si="1"/>
        <v> </v>
      </c>
      <c r="Y13" s="171"/>
    </row>
    <row r="14" spans="1:25" ht="15" customHeight="1">
      <c r="A14" s="286"/>
      <c r="B14" s="301"/>
      <c r="C14" s="288"/>
      <c r="D14" s="290"/>
      <c r="E14" s="272"/>
      <c r="F14" s="275"/>
      <c r="G14" s="300"/>
      <c r="H14" s="302"/>
      <c r="J14" s="260"/>
      <c r="K14" s="261"/>
      <c r="L14" s="263"/>
      <c r="M14" s="187">
        <v>8</v>
      </c>
      <c r="N14" s="181" t="str">
        <f>L21</f>
        <v>Ставропольский</v>
      </c>
      <c r="O14" s="188">
        <f>_xlfn.SUMIFS($J$7:$J$134,$L$7:$L$134,N14,$K$7:$K$134,O$6)</f>
        <v>0</v>
      </c>
      <c r="P14" s="188">
        <f>_xlfn.SUMIFS($J$7:$J$134,$L$7:$L$134,N14,$K$7:$K$134,P$6)</f>
        <v>1</v>
      </c>
      <c r="Q14" s="189">
        <f>_xlfn.SUMIFS($J$7:$J$134,$L$7:$L$134,N14,$K$7:$K$134,Q$6)</f>
        <v>0</v>
      </c>
      <c r="R14" s="189">
        <f>_xlfn.SUMIFS($J$7:$J$134,$L$7:$L$134,N14,$K$7:$K$134,R$6)</f>
        <v>0</v>
      </c>
      <c r="S14" s="192"/>
      <c r="T14" s="185" t="str">
        <f t="shared" si="0"/>
        <v>Ставропольский</v>
      </c>
      <c r="U14" s="185" t="str">
        <f t="shared" si="1"/>
        <v> </v>
      </c>
      <c r="V14" s="185">
        <f t="shared" si="1"/>
        <v>1</v>
      </c>
      <c r="W14" s="185" t="str">
        <f t="shared" si="1"/>
        <v> </v>
      </c>
      <c r="X14" s="185" t="str">
        <f t="shared" si="1"/>
        <v> </v>
      </c>
      <c r="Y14" s="171"/>
    </row>
    <row r="15" spans="1:25" ht="12.75" customHeight="1">
      <c r="A15" s="285">
        <v>5</v>
      </c>
      <c r="B15" s="287">
        <v>5</v>
      </c>
      <c r="C15" s="288" t="s">
        <v>246</v>
      </c>
      <c r="D15" s="282" t="s">
        <v>247</v>
      </c>
      <c r="E15" s="283" t="s">
        <v>106</v>
      </c>
      <c r="F15" s="303" t="s">
        <v>234</v>
      </c>
      <c r="G15" s="276"/>
      <c r="H15" s="296" t="s">
        <v>235</v>
      </c>
      <c r="J15" s="260">
        <v>1</v>
      </c>
      <c r="K15" s="261" t="str">
        <f>_xlfn.IFERROR(RIGHT(D15,LEN(D15)-FIND("*",SUBSTITUTE(D15," ","*",LEN(D15)-LEN(SUBSTITUTE(D15," ",""))))),D15)</f>
        <v>МС</v>
      </c>
      <c r="L15" s="262" t="str">
        <f>_xlfn.IFERROR(LEFT(F15,FIND(",",F15)-1),F15)</f>
        <v>Свердловская</v>
      </c>
      <c r="M15" s="187">
        <v>9</v>
      </c>
      <c r="N15" s="181" t="str">
        <f>L23</f>
        <v> Коми Сыктывкар МО</v>
      </c>
      <c r="O15" s="188">
        <f>_xlfn.SUMIFS($J$7:$J$134,$L$7:$L$134,N15,$K$7:$K$134,O$6)</f>
        <v>0</v>
      </c>
      <c r="P15" s="188">
        <f>_xlfn.SUMIFS($J$7:$J$134,$L$7:$L$134,N15,$K$7:$K$134,P$6)</f>
        <v>1</v>
      </c>
      <c r="Q15" s="189">
        <f>_xlfn.SUMIFS($J$7:$J$134,$L$7:$L$134,N15,$K$7:$K$134,Q$6)</f>
        <v>0</v>
      </c>
      <c r="R15" s="189">
        <f>_xlfn.SUMIFS($J$7:$J$134,$L$7:$L$134,N15,$K$7:$K$134,R$6)</f>
        <v>0</v>
      </c>
      <c r="S15" s="193"/>
      <c r="T15" s="194" t="str">
        <f t="shared" si="0"/>
        <v> Коми Сыктывкар МО</v>
      </c>
      <c r="U15" s="185" t="str">
        <f t="shared" si="1"/>
        <v> </v>
      </c>
      <c r="V15" s="185">
        <f t="shared" si="1"/>
        <v>1</v>
      </c>
      <c r="W15" s="185" t="str">
        <f t="shared" si="1"/>
        <v> </v>
      </c>
      <c r="X15" s="195" t="str">
        <f t="shared" si="1"/>
        <v> </v>
      </c>
      <c r="Y15" s="196"/>
    </row>
    <row r="16" spans="1:25" ht="15" customHeight="1">
      <c r="A16" s="286"/>
      <c r="B16" s="287"/>
      <c r="C16" s="288"/>
      <c r="D16" s="282"/>
      <c r="E16" s="284"/>
      <c r="F16" s="303"/>
      <c r="G16" s="276"/>
      <c r="H16" s="296"/>
      <c r="J16" s="260"/>
      <c r="K16" s="261"/>
      <c r="L16" s="263"/>
      <c r="M16" s="187">
        <v>10</v>
      </c>
      <c r="N16" s="181" t="str">
        <f>L25</f>
        <v>Москва</v>
      </c>
      <c r="O16" s="188">
        <f>_xlfn.SUMIFS($J$7:$J$134,$L$7:$L$134,N16,$K$7:$K$134,O$6)</f>
        <v>2</v>
      </c>
      <c r="P16" s="188">
        <f>_xlfn.SUMIFS($J$7:$J$134,$L$7:$L$134,N16,$K$7:$K$134,P$6)</f>
        <v>2</v>
      </c>
      <c r="Q16" s="189">
        <f>_xlfn.SUMIFS($J$7:$J$134,$L$7:$L$134,N16,$K$7:$K$134,Q$6)</f>
        <v>2</v>
      </c>
      <c r="R16" s="189">
        <f>_xlfn.SUMIFS($J$7:$J$134,$L$7:$L$134,N16,$K$7:$K$134,R$6)</f>
        <v>0</v>
      </c>
      <c r="S16" s="171"/>
      <c r="T16" s="185" t="str">
        <f t="shared" si="0"/>
        <v>Москва</v>
      </c>
      <c r="U16" s="185">
        <f t="shared" si="1"/>
        <v>2</v>
      </c>
      <c r="V16" s="185">
        <f t="shared" si="1"/>
        <v>2</v>
      </c>
      <c r="W16" s="185">
        <f t="shared" si="1"/>
        <v>2</v>
      </c>
      <c r="X16" s="185" t="str">
        <f t="shared" si="1"/>
        <v> </v>
      </c>
      <c r="Y16" s="171"/>
    </row>
    <row r="17" spans="1:25" ht="12.75" customHeight="1">
      <c r="A17" s="285">
        <v>6</v>
      </c>
      <c r="B17" s="301">
        <v>6</v>
      </c>
      <c r="C17" s="295" t="s">
        <v>161</v>
      </c>
      <c r="D17" s="277" t="s">
        <v>162</v>
      </c>
      <c r="E17" s="267" t="s">
        <v>92</v>
      </c>
      <c r="F17" s="291" t="s">
        <v>163</v>
      </c>
      <c r="G17" s="277" t="s">
        <v>93</v>
      </c>
      <c r="H17" s="295" t="s">
        <v>164</v>
      </c>
      <c r="J17" s="260">
        <v>1</v>
      </c>
      <c r="K17" s="261" t="str">
        <f>_xlfn.IFERROR(RIGHT(D17,LEN(D17)-FIND("*",SUBSTITUTE(D17," ","*",LEN(D17)-LEN(SUBSTITUTE(D17," ",""))))),D17)</f>
        <v>мсмк</v>
      </c>
      <c r="L17" s="262" t="str">
        <f>_xlfn.IFERROR(LEFT(F17,FIND(",",F17)-1),F17)</f>
        <v>г. Москва</v>
      </c>
      <c r="M17" s="187">
        <v>11</v>
      </c>
      <c r="N17" s="181" t="str">
        <f>L27</f>
        <v>Пермский</v>
      </c>
      <c r="O17" s="188">
        <f>_xlfn.SUMIFS($J$7:$J$134,$L$7:$L$134,N17,$K$7:$K$134,O$6)</f>
        <v>0</v>
      </c>
      <c r="P17" s="188">
        <f>_xlfn.SUMIFS($J$7:$J$134,$L$7:$L$134,N17,$K$7:$K$134,P$6)</f>
        <v>1</v>
      </c>
      <c r="Q17" s="189">
        <f>_xlfn.SUMIFS($J$7:$J$134,$L$7:$L$134,N17,$K$7:$K$134,Q$6)</f>
        <v>0</v>
      </c>
      <c r="R17" s="189">
        <f>_xlfn.SUMIFS($J$7:$J$134,$L$7:$L$134,N17,$K$7:$K$134,R$6)</f>
        <v>0</v>
      </c>
      <c r="S17" s="171"/>
      <c r="T17" s="185" t="str">
        <f t="shared" si="0"/>
        <v>Пермский</v>
      </c>
      <c r="U17" s="185" t="str">
        <f t="shared" si="1"/>
        <v> </v>
      </c>
      <c r="V17" s="185">
        <f t="shared" si="1"/>
        <v>1</v>
      </c>
      <c r="W17" s="185" t="str">
        <f t="shared" si="1"/>
        <v> </v>
      </c>
      <c r="X17" s="185" t="str">
        <f t="shared" si="1"/>
        <v> </v>
      </c>
      <c r="Y17" s="171"/>
    </row>
    <row r="18" spans="1:25" ht="15" customHeight="1">
      <c r="A18" s="286"/>
      <c r="B18" s="301"/>
      <c r="C18" s="295"/>
      <c r="D18" s="277"/>
      <c r="E18" s="269"/>
      <c r="F18" s="291"/>
      <c r="G18" s="277"/>
      <c r="H18" s="295"/>
      <c r="J18" s="260"/>
      <c r="K18" s="261"/>
      <c r="L18" s="263"/>
      <c r="M18" s="187">
        <v>12</v>
      </c>
      <c r="N18" s="181" t="str">
        <f>L29</f>
        <v>Краснодарский</v>
      </c>
      <c r="O18" s="188">
        <f>_xlfn.SUMIFS($J$7:$J$134,$L$7:$L$134,N18,$K$7:$K$134,O$6)</f>
        <v>5</v>
      </c>
      <c r="P18" s="188">
        <f>_xlfn.SUMIFS($J$7:$J$134,$L$7:$L$134,N18,$K$7:$K$134,P$6)</f>
        <v>0</v>
      </c>
      <c r="Q18" s="189">
        <f>_xlfn.SUMIFS($J$7:$J$134,$L$7:$L$134,N18,$K$7:$K$134,Q$6)</f>
        <v>0</v>
      </c>
      <c r="R18" s="189">
        <f>_xlfn.SUMIFS($J$7:$J$134,$L$7:$L$134,N18,$K$7:$K$134,R$6)</f>
        <v>0</v>
      </c>
      <c r="S18" s="171"/>
      <c r="T18" s="185" t="str">
        <f t="shared" si="0"/>
        <v>Краснодарский</v>
      </c>
      <c r="U18" s="185">
        <f t="shared" si="1"/>
        <v>5</v>
      </c>
      <c r="V18" s="185" t="str">
        <f t="shared" si="1"/>
        <v> </v>
      </c>
      <c r="W18" s="185" t="str">
        <f t="shared" si="1"/>
        <v> </v>
      </c>
      <c r="X18" s="185" t="str">
        <f t="shared" si="1"/>
        <v> </v>
      </c>
      <c r="Y18" s="171"/>
    </row>
    <row r="19" spans="1:25" ht="12.75" customHeight="1">
      <c r="A19" s="285">
        <v>7</v>
      </c>
      <c r="B19" s="287">
        <v>7</v>
      </c>
      <c r="C19" s="295" t="s">
        <v>203</v>
      </c>
      <c r="D19" s="277" t="s">
        <v>204</v>
      </c>
      <c r="E19" s="267" t="s">
        <v>100</v>
      </c>
      <c r="F19" s="291" t="s">
        <v>205</v>
      </c>
      <c r="G19" s="277" t="s">
        <v>206</v>
      </c>
      <c r="H19" s="295" t="s">
        <v>207</v>
      </c>
      <c r="J19" s="260">
        <v>1</v>
      </c>
      <c r="K19" s="261" t="str">
        <f>_xlfn.IFERROR(RIGHT(D19,LEN(D19)-FIND("*",SUBSTITUTE(D19," ","*",LEN(D19)-LEN(SUBSTITUTE(D19," ",""))))),D19)</f>
        <v>МС</v>
      </c>
      <c r="L19" s="262" t="str">
        <f>_xlfn.IFERROR(LEFT(F19,FIND(",",F19)-1),F19)</f>
        <v>КЧР</v>
      </c>
      <c r="M19" s="187">
        <v>13</v>
      </c>
      <c r="N19" s="181" t="str">
        <f>L31</f>
        <v>Кемеровская</v>
      </c>
      <c r="O19" s="188">
        <f>_xlfn.SUMIFS($J$7:$J$134,$L$7:$L$134,N19,$K$7:$K$134,O$6)</f>
        <v>0</v>
      </c>
      <c r="P19" s="188">
        <f>_xlfn.SUMIFS($J$7:$J$134,$L$7:$L$134,N19,$K$7:$K$134,P$6)</f>
        <v>1</v>
      </c>
      <c r="Q19" s="189">
        <f>_xlfn.SUMIFS($J$7:$J$134,$L$7:$L$134,N19,$K$7:$K$134,Q$6)</f>
        <v>0</v>
      </c>
      <c r="R19" s="189">
        <f>_xlfn.SUMIFS($J$7:$J$134,$L$7:$L$134,N19,$K$7:$K$134,R$6)</f>
        <v>0</v>
      </c>
      <c r="S19" s="171"/>
      <c r="T19" s="185" t="str">
        <f t="shared" si="0"/>
        <v>Кемеровская</v>
      </c>
      <c r="U19" s="185" t="str">
        <f t="shared" si="1"/>
        <v> </v>
      </c>
      <c r="V19" s="185">
        <f t="shared" si="1"/>
        <v>1</v>
      </c>
      <c r="W19" s="185" t="str">
        <f t="shared" si="1"/>
        <v> </v>
      </c>
      <c r="X19" s="185" t="str">
        <f t="shared" si="1"/>
        <v> </v>
      </c>
      <c r="Y19" s="171"/>
    </row>
    <row r="20" spans="1:25" ht="15" customHeight="1">
      <c r="A20" s="286"/>
      <c r="B20" s="287"/>
      <c r="C20" s="295"/>
      <c r="D20" s="277"/>
      <c r="E20" s="269"/>
      <c r="F20" s="291"/>
      <c r="G20" s="277"/>
      <c r="H20" s="295"/>
      <c r="J20" s="260"/>
      <c r="K20" s="261"/>
      <c r="L20" s="263"/>
      <c r="M20" s="187">
        <v>14</v>
      </c>
      <c r="N20" s="181" t="str">
        <f>L33</f>
        <v>Ленинградская об.</v>
      </c>
      <c r="O20" s="188">
        <f>_xlfn.SUMIFS($J$7:$J$134,$L$7:$L$134,N20,$K$7:$K$134,O$6)</f>
        <v>1</v>
      </c>
      <c r="P20" s="188">
        <f>_xlfn.SUMIFS($J$7:$J$134,$L$7:$L$134,N20,$K$7:$K$134,P$6)</f>
        <v>0</v>
      </c>
      <c r="Q20" s="189">
        <f>_xlfn.SUMIFS($J$7:$J$134,$L$7:$L$134,N20,$K$7:$K$134,Q$6)</f>
        <v>0</v>
      </c>
      <c r="R20" s="189">
        <f>_xlfn.SUMIFS($J$7:$J$134,$L$7:$L$134,N20,$K$7:$K$134,R$6)</f>
        <v>0</v>
      </c>
      <c r="S20" s="171"/>
      <c r="T20" s="185" t="str">
        <f t="shared" si="0"/>
        <v>Ленинградская об.</v>
      </c>
      <c r="U20" s="185">
        <f t="shared" si="1"/>
        <v>1</v>
      </c>
      <c r="V20" s="185" t="str">
        <f t="shared" si="1"/>
        <v> </v>
      </c>
      <c r="W20" s="185" t="str">
        <f t="shared" si="1"/>
        <v> </v>
      </c>
      <c r="X20" s="185" t="str">
        <f t="shared" si="1"/>
        <v> </v>
      </c>
      <c r="Y20" s="171"/>
    </row>
    <row r="21" spans="1:25" ht="12.75" customHeight="1">
      <c r="A21" s="285">
        <v>8</v>
      </c>
      <c r="B21" s="294">
        <v>8</v>
      </c>
      <c r="C21" s="295" t="s">
        <v>208</v>
      </c>
      <c r="D21" s="277" t="s">
        <v>209</v>
      </c>
      <c r="E21" s="267" t="s">
        <v>100</v>
      </c>
      <c r="F21" s="291" t="s">
        <v>210</v>
      </c>
      <c r="G21" s="277"/>
      <c r="H21" s="299" t="s">
        <v>211</v>
      </c>
      <c r="J21" s="260">
        <v>1</v>
      </c>
      <c r="K21" s="261" t="str">
        <f>_xlfn.IFERROR(RIGHT(D21,LEN(D21)-FIND("*",SUBSTITUTE(D21," ","*",LEN(D21)-LEN(SUBSTITUTE(D21," ",""))))),D21)</f>
        <v>МС</v>
      </c>
      <c r="L21" s="262" t="str">
        <f>_xlfn.IFERROR(LEFT(F21,FIND(",",F21)-1),F21)</f>
        <v>Ставропольский</v>
      </c>
      <c r="M21" s="187">
        <v>15</v>
      </c>
      <c r="N21" s="181" t="str">
        <f>L35</f>
        <v>Москва</v>
      </c>
      <c r="O21" s="188">
        <f>_xlfn.SUMIFS($J$7:$J$134,$L$7:$L$134,N21,$K$7:$K$134,O$6)</f>
        <v>2</v>
      </c>
      <c r="P21" s="188">
        <f>_xlfn.SUMIFS($J$7:$J$134,$L$7:$L$134,N21,$K$7:$K$134,P$6)</f>
        <v>2</v>
      </c>
      <c r="Q21" s="189">
        <f>_xlfn.SUMIFS($J$7:$J$134,$L$7:$L$134,N21,$K$7:$K$134,Q$6)</f>
        <v>2</v>
      </c>
      <c r="R21" s="189">
        <f>_xlfn.SUMIFS($J$7:$J$134,$L$7:$L$134,N21,$K$7:$K$134,R$6)</f>
        <v>0</v>
      </c>
      <c r="S21" s="171"/>
      <c r="T21" s="185" t="str">
        <f t="shared" si="0"/>
        <v>Москва</v>
      </c>
      <c r="U21" s="185">
        <f t="shared" si="1"/>
        <v>2</v>
      </c>
      <c r="V21" s="185">
        <f t="shared" si="1"/>
        <v>2</v>
      </c>
      <c r="W21" s="185">
        <f t="shared" si="1"/>
        <v>2</v>
      </c>
      <c r="X21" s="185" t="str">
        <f t="shared" si="1"/>
        <v> </v>
      </c>
      <c r="Y21" s="171"/>
    </row>
    <row r="22" spans="1:25" ht="15" customHeight="1">
      <c r="A22" s="286"/>
      <c r="B22" s="294"/>
      <c r="C22" s="295"/>
      <c r="D22" s="277"/>
      <c r="E22" s="269"/>
      <c r="F22" s="291"/>
      <c r="G22" s="277"/>
      <c r="H22" s="299"/>
      <c r="J22" s="260"/>
      <c r="K22" s="261"/>
      <c r="L22" s="263"/>
      <c r="M22" s="187">
        <v>16</v>
      </c>
      <c r="N22" s="181" t="str">
        <f>L37</f>
        <v>Москва</v>
      </c>
      <c r="O22" s="188">
        <f>_xlfn.SUMIFS($J$7:$J$134,$L$7:$L$134,N22,$K$7:$K$134,O$6)</f>
        <v>2</v>
      </c>
      <c r="P22" s="188">
        <f>_xlfn.SUMIFS($J$7:$J$134,$L$7:$L$134,N22,$K$7:$K$134,P$6)</f>
        <v>2</v>
      </c>
      <c r="Q22" s="189">
        <f>_xlfn.SUMIFS($J$7:$J$134,$L$7:$L$134,N22,$K$7:$K$134,Q$6)</f>
        <v>2</v>
      </c>
      <c r="R22" s="189">
        <f>_xlfn.SUMIFS($J$7:$J$134,$L$7:$L$134,N22,$K$7:$K$134,R$6)</f>
        <v>0</v>
      </c>
      <c r="S22" s="171"/>
      <c r="T22" s="185" t="str">
        <f t="shared" si="0"/>
        <v>Москва</v>
      </c>
      <c r="U22" s="185">
        <f t="shared" si="1"/>
        <v>2</v>
      </c>
      <c r="V22" s="185">
        <f t="shared" si="1"/>
        <v>2</v>
      </c>
      <c r="W22" s="185">
        <f t="shared" si="1"/>
        <v>2</v>
      </c>
      <c r="X22" s="185" t="str">
        <f t="shared" si="1"/>
        <v> </v>
      </c>
      <c r="Y22" s="171"/>
    </row>
    <row r="23" spans="1:25" ht="12.75" customHeight="1">
      <c r="A23" s="285">
        <v>9</v>
      </c>
      <c r="B23" s="294">
        <v>9</v>
      </c>
      <c r="C23" s="295" t="s">
        <v>272</v>
      </c>
      <c r="D23" s="277" t="s">
        <v>196</v>
      </c>
      <c r="E23" s="267" t="s">
        <v>99</v>
      </c>
      <c r="F23" s="291" t="s">
        <v>197</v>
      </c>
      <c r="G23" s="277" t="s">
        <v>93</v>
      </c>
      <c r="H23" s="295" t="s">
        <v>198</v>
      </c>
      <c r="J23" s="260">
        <v>1</v>
      </c>
      <c r="K23" s="261" t="str">
        <f>_xlfn.IFERROR(RIGHT(D23,LEN(D23)-FIND("*",SUBSTITUTE(D23," ","*",LEN(D23)-LEN(SUBSTITUTE(D23," ",""))))),D23)</f>
        <v>мс</v>
      </c>
      <c r="L23" s="262" t="str">
        <f>_xlfn.IFERROR(LEFT(F23,FIND(",",F23)-1),F23)</f>
        <v> Коми Сыктывкар МО</v>
      </c>
      <c r="M23" s="187">
        <v>17</v>
      </c>
      <c r="N23" s="181" t="str">
        <f>L39</f>
        <v>Краснодарский край Курганинск</v>
      </c>
      <c r="O23" s="188">
        <f>_xlfn.SUMIFS($J$7:$J$134,$L$7:$L$134,N23,$K$7:$K$134,O$6)</f>
        <v>0</v>
      </c>
      <c r="P23" s="188">
        <f>_xlfn.SUMIFS($J$7:$J$134,$L$7:$L$134,N23,$K$7:$K$134,P$6)</f>
        <v>2</v>
      </c>
      <c r="Q23" s="189">
        <f>_xlfn.SUMIFS($J$7:$J$134,$L$7:$L$134,N23,$K$7:$K$134,Q$6)</f>
        <v>0</v>
      </c>
      <c r="R23" s="189">
        <f>_xlfn.SUMIFS($J$7:$J$134,$L$7:$L$134,N23,$K$7:$K$134,R$6)</f>
        <v>0</v>
      </c>
      <c r="S23" s="12"/>
      <c r="T23" s="191" t="str">
        <f>N23</f>
        <v>Краснодарский край Курганинск</v>
      </c>
      <c r="U23" s="185" t="str">
        <f>IF(O23=0," ",O23)</f>
        <v> </v>
      </c>
      <c r="V23" s="185">
        <f>IF(P23=0," ",P23)</f>
        <v>2</v>
      </c>
      <c r="W23" s="185" t="str">
        <f>IF(Q23=0," ",Q23)</f>
        <v> </v>
      </c>
      <c r="X23" s="185" t="str">
        <f>IF(R23=0," ",R23)</f>
        <v> </v>
      </c>
      <c r="Y23" s="12"/>
    </row>
    <row r="24" spans="1:24" ht="15" customHeight="1">
      <c r="A24" s="286"/>
      <c r="B24" s="294"/>
      <c r="C24" s="295"/>
      <c r="D24" s="277"/>
      <c r="E24" s="269"/>
      <c r="F24" s="291"/>
      <c r="G24" s="277"/>
      <c r="H24" s="295"/>
      <c r="J24" s="260"/>
      <c r="K24" s="261"/>
      <c r="L24" s="263"/>
      <c r="M24" s="187">
        <v>18</v>
      </c>
      <c r="N24" s="181" t="str">
        <f>L41</f>
        <v>Тюменская</v>
      </c>
      <c r="O24" s="188">
        <f>_xlfn.SUMIFS($J$7:$J$134,$L$7:$L$134,N24,$K$7:$K$134,O$6)</f>
        <v>0</v>
      </c>
      <c r="P24" s="188">
        <f>_xlfn.SUMIFS($J$7:$J$134,$L$7:$L$134,N24,$K$7:$K$134,P$6)</f>
        <v>1</v>
      </c>
      <c r="Q24" s="189">
        <f>_xlfn.SUMIFS($J$7:$J$134,$L$7:$L$134,N24,$K$7:$K$134,Q$6)</f>
        <v>0</v>
      </c>
      <c r="R24" s="189">
        <f>_xlfn.SUMIFS($J$7:$J$134,$L$7:$L$134,N24,$K$7:$K$134,R$6)</f>
        <v>0</v>
      </c>
      <c r="T24" s="185" t="str">
        <f aca="true" t="shared" si="2" ref="T24:T38">N24</f>
        <v>Тюменская</v>
      </c>
      <c r="U24" s="185" t="str">
        <f aca="true" t="shared" si="3" ref="U24:X38">IF(O24=0," ",O24)</f>
        <v> </v>
      </c>
      <c r="V24" s="185">
        <f t="shared" si="3"/>
        <v>1</v>
      </c>
      <c r="W24" s="185" t="str">
        <f t="shared" si="3"/>
        <v> </v>
      </c>
      <c r="X24" s="185" t="str">
        <f t="shared" si="3"/>
        <v> </v>
      </c>
    </row>
    <row r="25" spans="1:24" ht="12.75" customHeight="1">
      <c r="A25" s="285">
        <v>10</v>
      </c>
      <c r="B25" s="301">
        <v>10</v>
      </c>
      <c r="C25" s="288" t="s">
        <v>179</v>
      </c>
      <c r="D25" s="282" t="s">
        <v>180</v>
      </c>
      <c r="E25" s="271" t="s">
        <v>92</v>
      </c>
      <c r="F25" s="291" t="s">
        <v>175</v>
      </c>
      <c r="G25" s="300"/>
      <c r="H25" s="288" t="s">
        <v>181</v>
      </c>
      <c r="J25" s="260">
        <v>1</v>
      </c>
      <c r="K25" s="261" t="str">
        <f>_xlfn.IFERROR(RIGHT(D25,LEN(D25)-FIND("*",SUBSTITUTE(D25," ","*",LEN(D25)-LEN(SUBSTITUTE(D25," ",""))))),D25)</f>
        <v>КМС</v>
      </c>
      <c r="L25" s="262" t="str">
        <f>_xlfn.IFERROR(LEFT(F25,FIND(",",F25)-1),F25)</f>
        <v>Москва</v>
      </c>
      <c r="M25" s="187">
        <v>19</v>
      </c>
      <c r="N25" s="181" t="str">
        <f>L43</f>
        <v>Свердловская</v>
      </c>
      <c r="O25" s="188">
        <f>_xlfn.SUMIFS($J$7:$J$134,$L$7:$L$134,N25,$K$7:$K$134,O$6)</f>
        <v>0</v>
      </c>
      <c r="P25" s="188">
        <f>_xlfn.SUMIFS($J$7:$J$134,$L$7:$L$134,N25,$K$7:$K$134,P$6)</f>
        <v>3</v>
      </c>
      <c r="Q25" s="189">
        <f>_xlfn.SUMIFS($J$7:$J$134,$L$7:$L$134,N25,$K$7:$K$134,Q$6)</f>
        <v>2</v>
      </c>
      <c r="R25" s="189">
        <f>_xlfn.SUMIFS($J$7:$J$134,$L$7:$L$134,N25,$K$7:$K$134,R$6)</f>
        <v>0</v>
      </c>
      <c r="S25" s="12"/>
      <c r="T25" s="185" t="str">
        <f t="shared" si="2"/>
        <v>Свердловская</v>
      </c>
      <c r="U25" s="185" t="str">
        <f t="shared" si="3"/>
        <v> </v>
      </c>
      <c r="V25" s="185">
        <f t="shared" si="3"/>
        <v>3</v>
      </c>
      <c r="W25" s="185">
        <f t="shared" si="3"/>
        <v>2</v>
      </c>
      <c r="X25" s="185" t="str">
        <f t="shared" si="3"/>
        <v> </v>
      </c>
    </row>
    <row r="26" spans="1:24" ht="15" customHeight="1">
      <c r="A26" s="286"/>
      <c r="B26" s="301"/>
      <c r="C26" s="288"/>
      <c r="D26" s="282"/>
      <c r="E26" s="272"/>
      <c r="F26" s="291"/>
      <c r="G26" s="300"/>
      <c r="H26" s="288"/>
      <c r="J26" s="260"/>
      <c r="K26" s="261"/>
      <c r="L26" s="263"/>
      <c r="M26" s="187">
        <v>20</v>
      </c>
      <c r="N26" s="181" t="str">
        <f>L45</f>
        <v>Свердловская</v>
      </c>
      <c r="O26" s="188">
        <f>_xlfn.SUMIFS($J$7:$J$134,$L$7:$L$134,N26,$K$7:$K$134,O$6)</f>
        <v>0</v>
      </c>
      <c r="P26" s="188">
        <f>_xlfn.SUMIFS($J$7:$J$134,$L$7:$L$134,N26,$K$7:$K$134,P$6)</f>
        <v>3</v>
      </c>
      <c r="Q26" s="189">
        <f>_xlfn.SUMIFS($J$7:$J$134,$L$7:$L$134,N26,$K$7:$K$134,Q$6)</f>
        <v>2</v>
      </c>
      <c r="R26" s="189">
        <f>_xlfn.SUMIFS($J$7:$J$134,$L$7:$L$134,N26,$K$7:$K$134,R$6)</f>
        <v>0</v>
      </c>
      <c r="T26" s="185" t="str">
        <f t="shared" si="2"/>
        <v>Свердловская</v>
      </c>
      <c r="U26" s="185" t="str">
        <f t="shared" si="3"/>
        <v> </v>
      </c>
      <c r="V26" s="185">
        <f t="shared" si="3"/>
        <v>3</v>
      </c>
      <c r="W26" s="185">
        <f t="shared" si="3"/>
        <v>2</v>
      </c>
      <c r="X26" s="185" t="str">
        <f t="shared" si="3"/>
        <v> </v>
      </c>
    </row>
    <row r="27" spans="1:24" ht="12.75" customHeight="1">
      <c r="A27" s="285">
        <v>11</v>
      </c>
      <c r="B27" s="298">
        <v>11</v>
      </c>
      <c r="C27" s="288" t="s">
        <v>189</v>
      </c>
      <c r="D27" s="282" t="s">
        <v>190</v>
      </c>
      <c r="E27" s="283" t="s">
        <v>96</v>
      </c>
      <c r="F27" s="275" t="s">
        <v>191</v>
      </c>
      <c r="G27" s="276"/>
      <c r="H27" s="296" t="s">
        <v>192</v>
      </c>
      <c r="J27" s="260">
        <v>1</v>
      </c>
      <c r="K27" s="261" t="str">
        <f>_xlfn.IFERROR(RIGHT(D27,LEN(D27)-FIND("*",SUBSTITUTE(D27," ","*",LEN(D27)-LEN(SUBSTITUTE(D27," ",""))))),D27)</f>
        <v>МС</v>
      </c>
      <c r="L27" s="262" t="str">
        <f>_xlfn.IFERROR(LEFT(F27,FIND(",",F27)-1),F27)</f>
        <v>Пермский</v>
      </c>
      <c r="M27" s="187">
        <v>21</v>
      </c>
      <c r="N27" s="181" t="str">
        <f>L47</f>
        <v>Р. Крым</v>
      </c>
      <c r="O27" s="188">
        <f>_xlfn.SUMIFS($J$7:$J$134,$L$7:$L$134,N27,$K$7:$K$134,O$6)</f>
        <v>0</v>
      </c>
      <c r="P27" s="188">
        <f>_xlfn.SUMIFS($J$7:$J$134,$L$7:$L$134,N27,$K$7:$K$134,P$6)</f>
        <v>1</v>
      </c>
      <c r="Q27" s="189">
        <f>_xlfn.SUMIFS($J$7:$J$134,$L$7:$L$134,N27,$K$7:$K$134,Q$6)</f>
        <v>0</v>
      </c>
      <c r="R27" s="189">
        <f>_xlfn.SUMIFS($J$7:$J$134,$L$7:$L$134,N27,$K$7:$K$134,R$6)</f>
        <v>0</v>
      </c>
      <c r="S27" s="12"/>
      <c r="T27" s="185" t="str">
        <f t="shared" si="2"/>
        <v>Р. Крым</v>
      </c>
      <c r="U27" s="185" t="str">
        <f t="shared" si="3"/>
        <v> </v>
      </c>
      <c r="V27" s="185">
        <f t="shared" si="3"/>
        <v>1</v>
      </c>
      <c r="W27" s="185" t="str">
        <f t="shared" si="3"/>
        <v> </v>
      </c>
      <c r="X27" s="185" t="str">
        <f t="shared" si="3"/>
        <v> </v>
      </c>
    </row>
    <row r="28" spans="1:24" ht="15" customHeight="1">
      <c r="A28" s="286"/>
      <c r="B28" s="298"/>
      <c r="C28" s="288"/>
      <c r="D28" s="282"/>
      <c r="E28" s="284"/>
      <c r="F28" s="275"/>
      <c r="G28" s="276"/>
      <c r="H28" s="296"/>
      <c r="J28" s="260"/>
      <c r="K28" s="261"/>
      <c r="L28" s="263"/>
      <c r="M28" s="187">
        <v>22</v>
      </c>
      <c r="N28" s="181" t="str">
        <f>L49</f>
        <v>С-Петербург</v>
      </c>
      <c r="O28" s="188">
        <f>_xlfn.SUMIFS($J$7:$J$134,$L$7:$L$134,N28,$K$7:$K$134,O$6)</f>
        <v>1</v>
      </c>
      <c r="P28" s="188">
        <f>_xlfn.SUMIFS($J$7:$J$134,$L$7:$L$134,N28,$K$7:$K$134,P$6)</f>
        <v>1</v>
      </c>
      <c r="Q28" s="189">
        <f>_xlfn.SUMIFS($J$7:$J$134,$L$7:$L$134,N28,$K$7:$K$134,Q$6)</f>
        <v>0</v>
      </c>
      <c r="R28" s="189">
        <f>_xlfn.SUMIFS($J$7:$J$134,$L$7:$L$134,N28,$K$7:$K$134,R$6)</f>
        <v>0</v>
      </c>
      <c r="T28" s="185" t="str">
        <f t="shared" si="2"/>
        <v>С-Петербург</v>
      </c>
      <c r="U28" s="185">
        <f t="shared" si="3"/>
        <v>1</v>
      </c>
      <c r="V28" s="185">
        <f t="shared" si="3"/>
        <v>1</v>
      </c>
      <c r="W28" s="185" t="str">
        <f t="shared" si="3"/>
        <v> </v>
      </c>
      <c r="X28" s="185" t="str">
        <f t="shared" si="3"/>
        <v> </v>
      </c>
    </row>
    <row r="29" spans="1:24" ht="15.75" customHeight="1">
      <c r="A29" s="285">
        <v>12</v>
      </c>
      <c r="B29" s="287">
        <v>12</v>
      </c>
      <c r="C29" s="288" t="s">
        <v>262</v>
      </c>
      <c r="D29" s="289" t="s">
        <v>263</v>
      </c>
      <c r="E29" s="278" t="s">
        <v>142</v>
      </c>
      <c r="F29" s="297" t="s">
        <v>264</v>
      </c>
      <c r="G29" s="300"/>
      <c r="H29" s="288" t="s">
        <v>265</v>
      </c>
      <c r="J29" s="260">
        <v>1</v>
      </c>
      <c r="K29" s="261" t="str">
        <f>_xlfn.IFERROR(RIGHT(D29,LEN(D29)-FIND("*",SUBSTITUTE(D29," ","*",LEN(D29)-LEN(SUBSTITUTE(D29," ",""))))),D29)</f>
        <v>КМС</v>
      </c>
      <c r="L29" s="262" t="str">
        <f>_xlfn.IFERROR(LEFT(F29,FIND(",",F29)-1),F29)</f>
        <v>Краснодарский</v>
      </c>
      <c r="M29" s="187">
        <v>23</v>
      </c>
      <c r="N29" s="181" t="str">
        <f>L51</f>
        <v>Курганская Курган МО</v>
      </c>
      <c r="O29" s="188">
        <f>_xlfn.SUMIFS($J$7:$J$134,$L$7:$L$134,N29,$K$7:$K$134,O$6)</f>
        <v>0</v>
      </c>
      <c r="P29" s="188">
        <f>_xlfn.SUMIFS($J$7:$J$134,$L$7:$L$134,N29,$K$7:$K$134,P$6)</f>
        <v>0</v>
      </c>
      <c r="Q29" s="189">
        <f>_xlfn.SUMIFS($J$7:$J$134,$L$7:$L$134,N29,$K$7:$K$134,Q$6)</f>
        <v>1</v>
      </c>
      <c r="R29" s="189">
        <f>_xlfn.SUMIFS($J$7:$J$134,$L$7:$L$134,N29,$K$7:$K$134,R$6)</f>
        <v>0</v>
      </c>
      <c r="S29" s="12"/>
      <c r="T29" s="185" t="str">
        <f t="shared" si="2"/>
        <v>Курганская Курган МО</v>
      </c>
      <c r="U29" s="185" t="str">
        <f t="shared" si="3"/>
        <v> </v>
      </c>
      <c r="V29" s="185" t="str">
        <f t="shared" si="3"/>
        <v> </v>
      </c>
      <c r="W29" s="185">
        <f t="shared" si="3"/>
        <v>1</v>
      </c>
      <c r="X29" s="185" t="str">
        <f t="shared" si="3"/>
        <v> </v>
      </c>
    </row>
    <row r="30" spans="1:24" ht="15" customHeight="1">
      <c r="A30" s="286"/>
      <c r="B30" s="287"/>
      <c r="C30" s="288"/>
      <c r="D30" s="290"/>
      <c r="E30" s="279"/>
      <c r="F30" s="297"/>
      <c r="G30" s="300"/>
      <c r="H30" s="290"/>
      <c r="J30" s="260"/>
      <c r="K30" s="261"/>
      <c r="L30" s="263"/>
      <c r="M30" s="187">
        <v>24</v>
      </c>
      <c r="N30" s="181" t="str">
        <f>L53</f>
        <v>Свердловская</v>
      </c>
      <c r="O30" s="188">
        <f>_xlfn.SUMIFS($J$7:$J$134,$L$7:$L$134,N30,$K$7:$K$134,O$6)</f>
        <v>0</v>
      </c>
      <c r="P30" s="188">
        <f>_xlfn.SUMIFS($J$7:$J$134,$L$7:$L$134,N30,$K$7:$K$134,P$6)</f>
        <v>3</v>
      </c>
      <c r="Q30" s="189">
        <f>_xlfn.SUMIFS($J$7:$J$134,$L$7:$L$134,N30,$K$7:$K$134,Q$6)</f>
        <v>2</v>
      </c>
      <c r="R30" s="189">
        <f>_xlfn.SUMIFS($J$7:$J$134,$L$7:$L$134,N30,$K$7:$K$134,R$6)</f>
        <v>0</v>
      </c>
      <c r="T30" s="185" t="str">
        <f t="shared" si="2"/>
        <v>Свердловская</v>
      </c>
      <c r="U30" s="185" t="str">
        <f t="shared" si="3"/>
        <v> </v>
      </c>
      <c r="V30" s="185">
        <f t="shared" si="3"/>
        <v>3</v>
      </c>
      <c r="W30" s="185">
        <f t="shared" si="3"/>
        <v>2</v>
      </c>
      <c r="X30" s="185" t="str">
        <f t="shared" si="3"/>
        <v> </v>
      </c>
    </row>
    <row r="31" spans="1:25" ht="12.75" customHeight="1">
      <c r="A31" s="285">
        <v>13</v>
      </c>
      <c r="B31" s="294">
        <v>13</v>
      </c>
      <c r="C31" s="295" t="s">
        <v>217</v>
      </c>
      <c r="D31" s="277" t="s">
        <v>218</v>
      </c>
      <c r="E31" s="267" t="s">
        <v>105</v>
      </c>
      <c r="F31" s="291" t="s">
        <v>219</v>
      </c>
      <c r="G31" s="292"/>
      <c r="H31" s="288" t="s">
        <v>220</v>
      </c>
      <c r="J31" s="260">
        <v>1</v>
      </c>
      <c r="K31" s="261" t="str">
        <f>_xlfn.IFERROR(RIGHT(D31,LEN(D31)-FIND("*",SUBSTITUTE(D31," ","*",LEN(D31)-LEN(SUBSTITUTE(D31," ",""))))),D31)</f>
        <v>МС</v>
      </c>
      <c r="L31" s="262" t="str">
        <f>_xlfn.IFERROR(LEFT(F31,FIND(",",F31)-1),F31)</f>
        <v>Кемеровская</v>
      </c>
      <c r="M31" s="187">
        <v>25</v>
      </c>
      <c r="N31" s="181" t="str">
        <f>L55</f>
        <v>Москва</v>
      </c>
      <c r="O31" s="188">
        <f>_xlfn.SUMIFS($J$7:$J$134,$L$7:$L$134,N31,$K$7:$K$134,O$6)</f>
        <v>2</v>
      </c>
      <c r="P31" s="188">
        <f>_xlfn.SUMIFS($J$7:$J$134,$L$7:$L$134,N31,$K$7:$K$134,P$6)</f>
        <v>2</v>
      </c>
      <c r="Q31" s="189">
        <f>_xlfn.SUMIFS($J$7:$J$134,$L$7:$L$134,N31,$K$7:$K$134,Q$6)</f>
        <v>2</v>
      </c>
      <c r="R31" s="189">
        <f>_xlfn.SUMIFS($J$7:$J$134,$L$7:$L$134,N31,$K$7:$K$134,R$6)</f>
        <v>0</v>
      </c>
      <c r="S31" s="12"/>
      <c r="T31" s="185" t="str">
        <f t="shared" si="2"/>
        <v>Москва</v>
      </c>
      <c r="U31" s="185">
        <f t="shared" si="3"/>
        <v>2</v>
      </c>
      <c r="V31" s="185">
        <f t="shared" si="3"/>
        <v>2</v>
      </c>
      <c r="W31" s="185">
        <f t="shared" si="3"/>
        <v>2</v>
      </c>
      <c r="X31" s="195" t="str">
        <f t="shared" si="3"/>
        <v> </v>
      </c>
      <c r="Y31" s="200"/>
    </row>
    <row r="32" spans="1:24" ht="15" customHeight="1">
      <c r="A32" s="286"/>
      <c r="B32" s="294"/>
      <c r="C32" s="295"/>
      <c r="D32" s="277"/>
      <c r="E32" s="269"/>
      <c r="F32" s="291"/>
      <c r="G32" s="292"/>
      <c r="H32" s="288"/>
      <c r="J32" s="260"/>
      <c r="K32" s="261"/>
      <c r="L32" s="263"/>
      <c r="M32" s="187">
        <v>26</v>
      </c>
      <c r="N32" s="181" t="str">
        <f>L57</f>
        <v>Башкортостан Уфа Д</v>
      </c>
      <c r="O32" s="188">
        <f>_xlfn.SUMIFS($J$7:$J$134,$L$7:$L$134,N32,$K$7:$K$134,O$6)</f>
        <v>0</v>
      </c>
      <c r="P32" s="188">
        <f>_xlfn.SUMIFS($J$7:$J$134,$L$7:$L$134,N32,$K$7:$K$134,P$6)</f>
        <v>1</v>
      </c>
      <c r="Q32" s="189">
        <f>_xlfn.SUMIFS($J$7:$J$134,$L$7:$L$134,N32,$K$7:$K$134,Q$6)</f>
        <v>0</v>
      </c>
      <c r="R32" s="189">
        <f>_xlfn.SUMIFS($J$7:$J$134,$L$7:$L$134,N32,$K$7:$K$134,R$6)</f>
        <v>0</v>
      </c>
      <c r="T32" s="185" t="str">
        <f t="shared" si="2"/>
        <v>Башкортостан Уфа Д</v>
      </c>
      <c r="U32" s="185" t="str">
        <f t="shared" si="3"/>
        <v> </v>
      </c>
      <c r="V32" s="185">
        <f t="shared" si="3"/>
        <v>1</v>
      </c>
      <c r="W32" s="185" t="str">
        <f t="shared" si="3"/>
        <v> </v>
      </c>
      <c r="X32" s="185" t="str">
        <f t="shared" si="3"/>
        <v> </v>
      </c>
    </row>
    <row r="33" spans="1:24" ht="12.75" customHeight="1">
      <c r="A33" s="285">
        <v>14</v>
      </c>
      <c r="B33" s="294">
        <v>14</v>
      </c>
      <c r="C33" s="296" t="s">
        <v>199</v>
      </c>
      <c r="D33" s="276" t="s">
        <v>200</v>
      </c>
      <c r="E33" s="267" t="s">
        <v>99</v>
      </c>
      <c r="F33" s="293" t="s">
        <v>201</v>
      </c>
      <c r="G33" s="276"/>
      <c r="H33" s="276" t="s">
        <v>202</v>
      </c>
      <c r="J33" s="260">
        <v>1</v>
      </c>
      <c r="K33" s="261" t="str">
        <f>_xlfn.IFERROR(RIGHT(D33,LEN(D33)-FIND("*",SUBSTITUTE(D33," ","*",LEN(D33)-LEN(SUBSTITUTE(D33," ",""))))),D33)</f>
        <v>кмс</v>
      </c>
      <c r="L33" s="262" t="str">
        <f>_xlfn.IFERROR(LEFT(F33,FIND(",",F33)-1),F33)</f>
        <v>Ленинградская об.</v>
      </c>
      <c r="M33" s="187">
        <v>27</v>
      </c>
      <c r="N33" s="181" t="str">
        <f>L59</f>
        <v>Свердловская</v>
      </c>
      <c r="O33" s="188">
        <f>_xlfn.SUMIFS($J$7:$J$134,$L$7:$L$134,N33,$K$7:$K$134,O$6)</f>
        <v>0</v>
      </c>
      <c r="P33" s="188">
        <f>_xlfn.SUMIFS($J$7:$J$134,$L$7:$L$134,N33,$K$7:$K$134,P$6)</f>
        <v>3</v>
      </c>
      <c r="Q33" s="189">
        <f>_xlfn.SUMIFS($J$7:$J$134,$L$7:$L$134,N33,$K$7:$K$134,Q$6)</f>
        <v>2</v>
      </c>
      <c r="R33" s="189">
        <f>_xlfn.SUMIFS($J$7:$J$134,$L$7:$L$134,N33,$K$7:$K$134,R$6)</f>
        <v>0</v>
      </c>
      <c r="S33" s="12"/>
      <c r="T33" s="185" t="str">
        <f t="shared" si="2"/>
        <v>Свердловская</v>
      </c>
      <c r="U33" s="185" t="str">
        <f t="shared" si="3"/>
        <v> </v>
      </c>
      <c r="V33" s="185">
        <f t="shared" si="3"/>
        <v>3</v>
      </c>
      <c r="W33" s="185">
        <f t="shared" si="3"/>
        <v>2</v>
      </c>
      <c r="X33" s="185" t="str">
        <f t="shared" si="3"/>
        <v> </v>
      </c>
    </row>
    <row r="34" spans="1:24" ht="15" customHeight="1">
      <c r="A34" s="286"/>
      <c r="B34" s="294"/>
      <c r="C34" s="296"/>
      <c r="D34" s="276"/>
      <c r="E34" s="269"/>
      <c r="F34" s="293"/>
      <c r="G34" s="276"/>
      <c r="H34" s="276"/>
      <c r="J34" s="260"/>
      <c r="K34" s="261"/>
      <c r="L34" s="263"/>
      <c r="M34" s="187">
        <v>28</v>
      </c>
      <c r="N34" s="181" t="str">
        <f>L61</f>
        <v>Тверская</v>
      </c>
      <c r="O34" s="188">
        <f>_xlfn.SUMIFS($J$7:$J$134,$L$7:$L$134,N34,$K$7:$K$134,O$6)</f>
        <v>0</v>
      </c>
      <c r="P34" s="188">
        <f>_xlfn.SUMIFS($J$7:$J$134,$L$7:$L$134,N34,$K$7:$K$134,P$6)</f>
        <v>1</v>
      </c>
      <c r="Q34" s="189">
        <f>_xlfn.SUMIFS($J$7:$J$134,$L$7:$L$134,N34,$K$7:$K$134,Q$6)</f>
        <v>0</v>
      </c>
      <c r="R34" s="189">
        <f>_xlfn.SUMIFS($J$7:$J$134,$L$7:$L$134,N34,$K$7:$K$134,R$6)</f>
        <v>0</v>
      </c>
      <c r="T34" s="185" t="str">
        <f t="shared" si="2"/>
        <v>Тверская</v>
      </c>
      <c r="U34" s="185" t="str">
        <f t="shared" si="3"/>
        <v> </v>
      </c>
      <c r="V34" s="185">
        <f t="shared" si="3"/>
        <v>1</v>
      </c>
      <c r="W34" s="185" t="str">
        <f t="shared" si="3"/>
        <v> </v>
      </c>
      <c r="X34" s="185" t="str">
        <f t="shared" si="3"/>
        <v> </v>
      </c>
    </row>
    <row r="35" spans="1:24" ht="12.75" customHeight="1">
      <c r="A35" s="285">
        <v>15</v>
      </c>
      <c r="B35" s="287">
        <v>15</v>
      </c>
      <c r="C35" s="288" t="s">
        <v>165</v>
      </c>
      <c r="D35" s="289" t="s">
        <v>166</v>
      </c>
      <c r="E35" s="271" t="s">
        <v>92</v>
      </c>
      <c r="F35" s="275" t="s">
        <v>94</v>
      </c>
      <c r="G35" s="300"/>
      <c r="H35" s="288" t="s">
        <v>167</v>
      </c>
      <c r="J35" s="260">
        <v>1</v>
      </c>
      <c r="K35" s="261" t="str">
        <f>_xlfn.IFERROR(RIGHT(D35,LEN(D35)-FIND("*",SUBSTITUTE(D35," ","*",LEN(D35)-LEN(SUBSTITUTE(D35," ",""))))),D35)</f>
        <v>МСМК</v>
      </c>
      <c r="L35" s="262" t="str">
        <f>_xlfn.IFERROR(LEFT(F35,FIND(",",F35)-1),F35)</f>
        <v>Москва</v>
      </c>
      <c r="M35" s="187">
        <v>29</v>
      </c>
      <c r="N35" s="181" t="str">
        <f>L63</f>
        <v>Брянская Брянск ВС</v>
      </c>
      <c r="O35" s="188">
        <f>_xlfn.SUMIFS($J$7:$J$134,$L$7:$L$134,N35,$K$7:$K$134,O$6)</f>
        <v>0</v>
      </c>
      <c r="P35" s="188">
        <f>_xlfn.SUMIFS($J$7:$J$134,$L$7:$L$134,N35,$K$7:$K$134,P$6)</f>
        <v>0</v>
      </c>
      <c r="Q35" s="189">
        <f>_xlfn.SUMIFS($J$7:$J$134,$L$7:$L$134,N35,$K$7:$K$134,Q$6)</f>
        <v>0</v>
      </c>
      <c r="R35" s="189">
        <f>_xlfn.SUMIFS($J$7:$J$134,$L$7:$L$134,N35,$K$7:$K$134,R$6)</f>
        <v>1</v>
      </c>
      <c r="S35" s="12"/>
      <c r="T35" s="185" t="str">
        <f t="shared" si="2"/>
        <v>Брянская Брянск ВС</v>
      </c>
      <c r="U35" s="185" t="str">
        <f t="shared" si="3"/>
        <v> </v>
      </c>
      <c r="V35" s="185" t="str">
        <f t="shared" si="3"/>
        <v> </v>
      </c>
      <c r="W35" s="185" t="str">
        <f t="shared" si="3"/>
        <v> </v>
      </c>
      <c r="X35" s="185">
        <f t="shared" si="3"/>
        <v>1</v>
      </c>
    </row>
    <row r="36" spans="1:24" ht="15" customHeight="1">
      <c r="A36" s="286"/>
      <c r="B36" s="287"/>
      <c r="C36" s="288"/>
      <c r="D36" s="290"/>
      <c r="E36" s="272"/>
      <c r="F36" s="275"/>
      <c r="G36" s="300"/>
      <c r="H36" s="302"/>
      <c r="J36" s="260"/>
      <c r="K36" s="261"/>
      <c r="L36" s="263"/>
      <c r="M36" s="187">
        <v>30</v>
      </c>
      <c r="N36" s="181" t="str">
        <f>L65</f>
        <v>Курганская</v>
      </c>
      <c r="O36" s="188">
        <f>_xlfn.SUMIFS($J$7:$J$134,$L$7:$L$134,N36,$K$7:$K$134,O$6)</f>
        <v>0</v>
      </c>
      <c r="P36" s="188">
        <f>_xlfn.SUMIFS($J$7:$J$134,$L$7:$L$134,N36,$K$7:$K$134,P$6)</f>
        <v>1</v>
      </c>
      <c r="Q36" s="189">
        <f>_xlfn.SUMIFS($J$7:$J$134,$L$7:$L$134,N36,$K$7:$K$134,Q$6)</f>
        <v>0</v>
      </c>
      <c r="R36" s="189">
        <f>_xlfn.SUMIFS($J$7:$J$134,$L$7:$L$134,N36,$K$7:$K$134,R$6)</f>
        <v>0</v>
      </c>
      <c r="T36" s="185" t="str">
        <f t="shared" si="2"/>
        <v>Курганская</v>
      </c>
      <c r="U36" s="185" t="str">
        <f t="shared" si="3"/>
        <v> </v>
      </c>
      <c r="V36" s="185">
        <f t="shared" si="3"/>
        <v>1</v>
      </c>
      <c r="W36" s="185" t="str">
        <f t="shared" si="3"/>
        <v> </v>
      </c>
      <c r="X36" s="185" t="str">
        <f t="shared" si="3"/>
        <v> </v>
      </c>
    </row>
    <row r="37" spans="1:24" ht="15.75" customHeight="1">
      <c r="A37" s="285">
        <v>16</v>
      </c>
      <c r="B37" s="301">
        <v>16</v>
      </c>
      <c r="C37" s="288" t="s">
        <v>177</v>
      </c>
      <c r="D37" s="289" t="s">
        <v>178</v>
      </c>
      <c r="E37" s="271" t="s">
        <v>92</v>
      </c>
      <c r="F37" s="291" t="s">
        <v>175</v>
      </c>
      <c r="G37" s="300"/>
      <c r="H37" s="288" t="s">
        <v>176</v>
      </c>
      <c r="J37" s="260">
        <v>1</v>
      </c>
      <c r="K37" s="261" t="str">
        <f>_xlfn.IFERROR(RIGHT(D37,LEN(D37)-FIND("*",SUBSTITUTE(D37," ","*",LEN(D37)-LEN(SUBSTITUTE(D37," ",""))))),D37)</f>
        <v>МС</v>
      </c>
      <c r="L37" s="262" t="str">
        <f>_xlfn.IFERROR(LEFT(F37,FIND(",",F37)-1),F37)</f>
        <v>Москва</v>
      </c>
      <c r="M37" s="187">
        <v>31</v>
      </c>
      <c r="N37" s="181" t="str">
        <f>L67</f>
        <v>Севастополь</v>
      </c>
      <c r="O37" s="188">
        <f>_xlfn.SUMIFS($J$7:$J$134,$L$7:$L$134,N37,$K$7:$K$134,O$6)</f>
        <v>1</v>
      </c>
      <c r="P37" s="188">
        <f>_xlfn.SUMIFS($J$7:$J$134,$L$7:$L$134,N37,$K$7:$K$134,P$6)</f>
        <v>0</v>
      </c>
      <c r="Q37" s="189">
        <f>_xlfn.SUMIFS($J$7:$J$134,$L$7:$L$134,N37,$K$7:$K$134,Q$6)</f>
        <v>0</v>
      </c>
      <c r="R37" s="189">
        <f>_xlfn.SUMIFS($J$7:$J$134,$L$7:$L$134,N37,$K$7:$K$134,R$6)</f>
        <v>0</v>
      </c>
      <c r="S37" s="12"/>
      <c r="T37" s="185" t="str">
        <f t="shared" si="2"/>
        <v>Севастополь</v>
      </c>
      <c r="U37" s="185">
        <f t="shared" si="3"/>
        <v>1</v>
      </c>
      <c r="V37" s="185" t="str">
        <f t="shared" si="3"/>
        <v> </v>
      </c>
      <c r="W37" s="185" t="str">
        <f t="shared" si="3"/>
        <v> </v>
      </c>
      <c r="X37" s="185" t="str">
        <f t="shared" si="3"/>
        <v> </v>
      </c>
    </row>
    <row r="38" spans="1:24" ht="12.75" customHeight="1">
      <c r="A38" s="286"/>
      <c r="B38" s="301"/>
      <c r="C38" s="288"/>
      <c r="D38" s="282"/>
      <c r="E38" s="272"/>
      <c r="F38" s="291"/>
      <c r="G38" s="300"/>
      <c r="H38" s="304"/>
      <c r="J38" s="260"/>
      <c r="K38" s="261"/>
      <c r="L38" s="263"/>
      <c r="M38" s="187">
        <v>32</v>
      </c>
      <c r="N38" s="181" t="str">
        <f>L69</f>
        <v>Нижегородская</v>
      </c>
      <c r="O38" s="188">
        <f>_xlfn.SUMIFS($J$7:$J$134,$L$7:$L$134,N38,$K$7:$K$134,O$6)</f>
        <v>0</v>
      </c>
      <c r="P38" s="188">
        <f>_xlfn.SUMIFS($J$7:$J$134,$L$7:$L$134,N38,$K$7:$K$134,P$6)</f>
        <v>1</v>
      </c>
      <c r="Q38" s="189">
        <f>_xlfn.SUMIFS($J$7:$J$134,$L$7:$L$134,N38,$K$7:$K$134,Q$6)</f>
        <v>0</v>
      </c>
      <c r="R38" s="189">
        <f>_xlfn.SUMIFS($J$7:$J$134,$L$7:$L$134,N38,$K$7:$K$134,R$6)</f>
        <v>0</v>
      </c>
      <c r="T38" s="185" t="str">
        <f t="shared" si="2"/>
        <v>Нижегородская</v>
      </c>
      <c r="U38" s="185" t="str">
        <f t="shared" si="3"/>
        <v> </v>
      </c>
      <c r="V38" s="185">
        <f t="shared" si="3"/>
        <v>1</v>
      </c>
      <c r="W38" s="185" t="str">
        <f t="shared" si="3"/>
        <v> </v>
      </c>
      <c r="X38" s="185" t="str">
        <f t="shared" si="3"/>
        <v> </v>
      </c>
    </row>
    <row r="39" spans="1:25" ht="12.75" customHeight="1">
      <c r="A39" s="285">
        <v>17</v>
      </c>
      <c r="B39" s="301">
        <v>17</v>
      </c>
      <c r="C39" s="295" t="s">
        <v>258</v>
      </c>
      <c r="D39" s="277" t="s">
        <v>259</v>
      </c>
      <c r="E39" s="267" t="s">
        <v>142</v>
      </c>
      <c r="F39" s="291" t="s">
        <v>260</v>
      </c>
      <c r="G39" s="277"/>
      <c r="H39" s="295" t="s">
        <v>261</v>
      </c>
      <c r="J39" s="260">
        <v>1</v>
      </c>
      <c r="K39" s="261" t="str">
        <f>_xlfn.IFERROR(RIGHT(D39,LEN(D39)-FIND("*",SUBSTITUTE(D39," ","*",LEN(D39)-LEN(SUBSTITUTE(D39," ",""))))),D39)</f>
        <v>МС</v>
      </c>
      <c r="L39" s="262" t="str">
        <f>_xlfn.IFERROR(LEFT(F39,FIND(",",F39)-1),F39)</f>
        <v>Краснодарский край Курганинск</v>
      </c>
      <c r="M39" s="187">
        <v>33</v>
      </c>
      <c r="N39" s="181" t="str">
        <f>L71</f>
        <v>С-Петербург</v>
      </c>
      <c r="O39" s="188">
        <f>_xlfn.SUMIFS($J$7:$J$134,$L$7:$L$134,N39,$K$7:$K$134,O$6)</f>
        <v>1</v>
      </c>
      <c r="P39" s="188">
        <f>_xlfn.SUMIFS($J$7:$J$134,$L$7:$L$134,N39,$K$7:$K$134,P$6)</f>
        <v>1</v>
      </c>
      <c r="Q39" s="189">
        <f>_xlfn.SUMIFS($J$7:$J$134,$L$7:$L$134,N39,$K$7:$K$134,Q$6)</f>
        <v>0</v>
      </c>
      <c r="R39" s="189">
        <f>_xlfn.SUMIFS($J$7:$J$134,$L$7:$L$134,N39,$K$7:$K$134,R$6)</f>
        <v>0</v>
      </c>
      <c r="S39">
        <f>SUM(O7:R38)</f>
        <v>94</v>
      </c>
      <c r="T39" s="185" t="str">
        <f aca="true" t="shared" si="4" ref="T39:T70">N39</f>
        <v>С-Петербург</v>
      </c>
      <c r="U39" s="185">
        <f aca="true" t="shared" si="5" ref="U39:U70">IF(O39=0," ",O39)</f>
        <v>1</v>
      </c>
      <c r="V39" s="185">
        <f aca="true" t="shared" si="6" ref="V39:V70">IF(P39=0," ",P39)</f>
        <v>1</v>
      </c>
      <c r="W39" s="185" t="str">
        <f aca="true" t="shared" si="7" ref="W39:W70">IF(Q39=0," ",Q39)</f>
        <v> </v>
      </c>
      <c r="X39" s="185" t="str">
        <f aca="true" t="shared" si="8" ref="X39:X70">IF(R39=0," ",R39)</f>
        <v> </v>
      </c>
      <c r="Y39">
        <f>SUM(U7:X38)</f>
        <v>94</v>
      </c>
    </row>
    <row r="40" spans="1:24" ht="12.75" customHeight="1">
      <c r="A40" s="286"/>
      <c r="B40" s="301"/>
      <c r="C40" s="295"/>
      <c r="D40" s="277"/>
      <c r="E40" s="269"/>
      <c r="F40" s="291"/>
      <c r="G40" s="277"/>
      <c r="H40" s="295"/>
      <c r="J40" s="260"/>
      <c r="K40" s="261"/>
      <c r="L40" s="263"/>
      <c r="M40" s="187">
        <v>34</v>
      </c>
      <c r="N40" s="181" t="str">
        <f>L73</f>
        <v>Краснодарский край Курганинск</v>
      </c>
      <c r="O40" s="188">
        <f>_xlfn.SUMIFS($J$7:$J$134,$L$7:$L$134,N40,$K$7:$K$134,O$6)</f>
        <v>0</v>
      </c>
      <c r="P40" s="188">
        <f>_xlfn.SUMIFS($J$7:$J$134,$L$7:$L$134,N40,$K$7:$K$134,P$6)</f>
        <v>2</v>
      </c>
      <c r="Q40" s="189">
        <f>_xlfn.SUMIFS($J$7:$J$134,$L$7:$L$134,N40,$K$7:$K$134,Q$6)</f>
        <v>0</v>
      </c>
      <c r="R40" s="189">
        <f>_xlfn.SUMIFS($J$7:$J$134,$L$7:$L$134,N40,$K$7:$K$134,R$6)</f>
        <v>0</v>
      </c>
      <c r="T40" s="185" t="str">
        <f t="shared" si="4"/>
        <v>Краснодарский край Курганинск</v>
      </c>
      <c r="U40" s="185" t="str">
        <f t="shared" si="5"/>
        <v> </v>
      </c>
      <c r="V40" s="185">
        <f t="shared" si="6"/>
        <v>2</v>
      </c>
      <c r="W40" s="185" t="str">
        <f t="shared" si="7"/>
        <v> </v>
      </c>
      <c r="X40" s="185" t="str">
        <f t="shared" si="8"/>
        <v> </v>
      </c>
    </row>
    <row r="41" spans="1:24" ht="12.75" customHeight="1">
      <c r="A41" s="285">
        <v>18</v>
      </c>
      <c r="B41" s="287">
        <v>18</v>
      </c>
      <c r="C41" s="295" t="s">
        <v>228</v>
      </c>
      <c r="D41" s="277" t="s">
        <v>229</v>
      </c>
      <c r="E41" s="306" t="s">
        <v>106</v>
      </c>
      <c r="F41" s="275" t="s">
        <v>230</v>
      </c>
      <c r="G41" s="305"/>
      <c r="H41" s="296" t="s">
        <v>231</v>
      </c>
      <c r="J41" s="260">
        <v>1</v>
      </c>
      <c r="K41" s="261" t="str">
        <f>_xlfn.IFERROR(RIGHT(D41,LEN(D41)-FIND("*",SUBSTITUTE(D41," ","*",LEN(D41)-LEN(SUBSTITUTE(D41," ",""))))),D41)</f>
        <v>МС</v>
      </c>
      <c r="L41" s="262" t="str">
        <f>_xlfn.IFERROR(LEFT(F41,FIND(",",F41)-1),F41)</f>
        <v>Тюменская</v>
      </c>
      <c r="M41" s="187">
        <v>35</v>
      </c>
      <c r="N41" s="181" t="str">
        <f>L75</f>
        <v>Краснодарский</v>
      </c>
      <c r="O41" s="188">
        <f>_xlfn.SUMIFS($J$7:$J$134,$L$7:$L$134,N41,$K$7:$K$134,O$6)</f>
        <v>5</v>
      </c>
      <c r="P41" s="188">
        <f>_xlfn.SUMIFS($J$7:$J$134,$L$7:$L$134,N41,$K$7:$K$134,P$6)</f>
        <v>0</v>
      </c>
      <c r="Q41" s="189">
        <f>_xlfn.SUMIFS($J$7:$J$134,$L$7:$L$134,N41,$K$7:$K$134,Q$6)</f>
        <v>0</v>
      </c>
      <c r="R41" s="189">
        <f>_xlfn.SUMIFS($J$7:$J$134,$L$7:$L$134,N41,$K$7:$K$134,R$6)</f>
        <v>0</v>
      </c>
      <c r="T41" s="185" t="str">
        <f t="shared" si="4"/>
        <v>Краснодарский</v>
      </c>
      <c r="U41" s="185">
        <f t="shared" si="5"/>
        <v>5</v>
      </c>
      <c r="V41" s="185" t="str">
        <f t="shared" si="6"/>
        <v> </v>
      </c>
      <c r="W41" s="185" t="str">
        <f t="shared" si="7"/>
        <v> </v>
      </c>
      <c r="X41" s="185" t="str">
        <f t="shared" si="8"/>
        <v> </v>
      </c>
    </row>
    <row r="42" spans="1:24" ht="12.75" customHeight="1">
      <c r="A42" s="286"/>
      <c r="B42" s="287"/>
      <c r="C42" s="295"/>
      <c r="D42" s="277"/>
      <c r="E42" s="307"/>
      <c r="F42" s="275"/>
      <c r="G42" s="305"/>
      <c r="H42" s="296"/>
      <c r="J42" s="260"/>
      <c r="K42" s="261"/>
      <c r="L42" s="263"/>
      <c r="M42" s="187">
        <v>36</v>
      </c>
      <c r="N42" s="181" t="str">
        <f>L77</f>
        <v>Краснодарский</v>
      </c>
      <c r="O42" s="188">
        <f>_xlfn.SUMIFS($J$7:$J$134,$L$7:$L$134,N42,$K$7:$K$134,O$6)</f>
        <v>5</v>
      </c>
      <c r="P42" s="188">
        <f>_xlfn.SUMIFS($J$7:$J$134,$L$7:$L$134,N42,$K$7:$K$134,P$6)</f>
        <v>0</v>
      </c>
      <c r="Q42" s="189">
        <f>_xlfn.SUMIFS($J$7:$J$134,$L$7:$L$134,N42,$K$7:$K$134,Q$6)</f>
        <v>0</v>
      </c>
      <c r="R42" s="189">
        <f>_xlfn.SUMIFS($J$7:$J$134,$L$7:$L$134,N42,$K$7:$K$134,R$6)</f>
        <v>0</v>
      </c>
      <c r="T42" s="185" t="str">
        <f t="shared" si="4"/>
        <v>Краснодарский</v>
      </c>
      <c r="U42" s="185">
        <f t="shared" si="5"/>
        <v>5</v>
      </c>
      <c r="V42" s="185" t="str">
        <f t="shared" si="6"/>
        <v> </v>
      </c>
      <c r="W42" s="185" t="str">
        <f t="shared" si="7"/>
        <v> </v>
      </c>
      <c r="X42" s="185" t="str">
        <f t="shared" si="8"/>
        <v> </v>
      </c>
    </row>
    <row r="43" spans="1:24" ht="12.75" customHeight="1">
      <c r="A43" s="285">
        <v>19</v>
      </c>
      <c r="B43" s="287">
        <v>19</v>
      </c>
      <c r="C43" s="299" t="s">
        <v>232</v>
      </c>
      <c r="D43" s="308" t="s">
        <v>233</v>
      </c>
      <c r="E43" s="283" t="s">
        <v>106</v>
      </c>
      <c r="F43" s="303" t="s">
        <v>234</v>
      </c>
      <c r="G43" s="276"/>
      <c r="H43" s="296" t="s">
        <v>235</v>
      </c>
      <c r="J43" s="260">
        <v>1</v>
      </c>
      <c r="K43" s="261" t="str">
        <f>_xlfn.IFERROR(RIGHT(D43,LEN(D43)-FIND("*",SUBSTITUTE(D43," ","*",LEN(D43)-LEN(SUBSTITUTE(D43," ",""))))),D43)</f>
        <v>МС</v>
      </c>
      <c r="L43" s="262" t="str">
        <f>_xlfn.IFERROR(LEFT(F43,FIND(",",F43)-1),F43)</f>
        <v>Свердловская</v>
      </c>
      <c r="M43" s="187">
        <v>37</v>
      </c>
      <c r="N43" s="181" t="str">
        <f>L79</f>
        <v>Ивановская</v>
      </c>
      <c r="O43" s="188">
        <f>_xlfn.SUMIFS($J$7:$J$134,$L$7:$L$134,N43,$K$7:$K$134,O$6)</f>
        <v>1</v>
      </c>
      <c r="P43" s="188">
        <f>_xlfn.SUMIFS($J$7:$J$134,$L$7:$L$134,N43,$K$7:$K$134,P$6)</f>
        <v>0</v>
      </c>
      <c r="Q43" s="189">
        <f>_xlfn.SUMIFS($J$7:$J$134,$L$7:$L$134,N43,$K$7:$K$134,Q$6)</f>
        <v>0</v>
      </c>
      <c r="R43" s="189">
        <f>_xlfn.SUMIFS($J$7:$J$134,$L$7:$L$134,N43,$K$7:$K$134,R$6)</f>
        <v>0</v>
      </c>
      <c r="T43" s="185" t="str">
        <f t="shared" si="4"/>
        <v>Ивановская</v>
      </c>
      <c r="U43" s="185">
        <f t="shared" si="5"/>
        <v>1</v>
      </c>
      <c r="V43" s="185" t="str">
        <f t="shared" si="6"/>
        <v> </v>
      </c>
      <c r="W43" s="185" t="str">
        <f t="shared" si="7"/>
        <v> </v>
      </c>
      <c r="X43" s="185" t="str">
        <f t="shared" si="8"/>
        <v> </v>
      </c>
    </row>
    <row r="44" spans="1:24" ht="12.75" customHeight="1">
      <c r="A44" s="286"/>
      <c r="B44" s="287"/>
      <c r="C44" s="299"/>
      <c r="D44" s="308"/>
      <c r="E44" s="284"/>
      <c r="F44" s="303"/>
      <c r="G44" s="276"/>
      <c r="H44" s="296"/>
      <c r="J44" s="260"/>
      <c r="K44" s="261"/>
      <c r="L44" s="263"/>
      <c r="M44" s="187">
        <v>38</v>
      </c>
      <c r="N44" s="181" t="str">
        <f>L81</f>
        <v>Брянская Брянск Д</v>
      </c>
      <c r="O44" s="188">
        <f>_xlfn.SUMIFS($J$7:$J$134,$L$7:$L$134,N44,$K$7:$K$134,O$6)</f>
        <v>0</v>
      </c>
      <c r="P44" s="188">
        <f>_xlfn.SUMIFS($J$7:$J$134,$L$7:$L$134,N44,$K$7:$K$134,P$6)</f>
        <v>1</v>
      </c>
      <c r="Q44" s="189">
        <f>_xlfn.SUMIFS($J$7:$J$134,$L$7:$L$134,N44,$K$7:$K$134,Q$6)</f>
        <v>1</v>
      </c>
      <c r="R44" s="189">
        <f>_xlfn.SUMIFS($J$7:$J$134,$L$7:$L$134,N44,$K$7:$K$134,R$6)</f>
        <v>0</v>
      </c>
      <c r="T44" s="185" t="str">
        <f t="shared" si="4"/>
        <v>Брянская Брянск Д</v>
      </c>
      <c r="U44" s="185" t="str">
        <f t="shared" si="5"/>
        <v> </v>
      </c>
      <c r="V44" s="185">
        <f t="shared" si="6"/>
        <v>1</v>
      </c>
      <c r="W44" s="185">
        <f t="shared" si="7"/>
        <v>1</v>
      </c>
      <c r="X44" s="185" t="str">
        <f t="shared" si="8"/>
        <v> </v>
      </c>
    </row>
    <row r="45" spans="1:24" ht="12.75" customHeight="1">
      <c r="A45" s="285">
        <v>20</v>
      </c>
      <c r="B45" s="287">
        <v>20</v>
      </c>
      <c r="C45" s="288" t="s">
        <v>236</v>
      </c>
      <c r="D45" s="282" t="s">
        <v>237</v>
      </c>
      <c r="E45" s="267" t="s">
        <v>106</v>
      </c>
      <c r="F45" s="275" t="s">
        <v>238</v>
      </c>
      <c r="G45" s="300"/>
      <c r="H45" s="288" t="s">
        <v>239</v>
      </c>
      <c r="J45" s="260">
        <v>1</v>
      </c>
      <c r="K45" s="261" t="str">
        <f>_xlfn.IFERROR(RIGHT(D45,LEN(D45)-FIND("*",SUBSTITUTE(D45," ","*",LEN(D45)-LEN(SUBSTITUTE(D45," ",""))))),D45)</f>
        <v>МС</v>
      </c>
      <c r="L45" s="262" t="str">
        <f>_xlfn.IFERROR(LEFT(F45,FIND(",",F45)-1),F45)</f>
        <v>Свердловская</v>
      </c>
      <c r="M45" s="187">
        <v>39</v>
      </c>
      <c r="N45" s="181" t="str">
        <f>L83</f>
        <v>Брянская Брянск Д</v>
      </c>
      <c r="O45" s="188">
        <f>_xlfn.SUMIFS($J$7:$J$134,$L$7:$L$134,N45,$K$7:$K$134,O$6)</f>
        <v>0</v>
      </c>
      <c r="P45" s="188">
        <f>_xlfn.SUMIFS($J$7:$J$134,$L$7:$L$134,N45,$K$7:$K$134,P$6)</f>
        <v>1</v>
      </c>
      <c r="Q45" s="189">
        <f>_xlfn.SUMIFS($J$7:$J$134,$L$7:$L$134,N45,$K$7:$K$134,Q$6)</f>
        <v>1</v>
      </c>
      <c r="R45" s="189">
        <f>_xlfn.SUMIFS($J$7:$J$134,$L$7:$L$134,N45,$K$7:$K$134,R$6)</f>
        <v>0</v>
      </c>
      <c r="T45" s="185" t="str">
        <f t="shared" si="4"/>
        <v>Брянская Брянск Д</v>
      </c>
      <c r="U45" s="185" t="str">
        <f t="shared" si="5"/>
        <v> </v>
      </c>
      <c r="V45" s="185">
        <f t="shared" si="6"/>
        <v>1</v>
      </c>
      <c r="W45" s="185">
        <f t="shared" si="7"/>
        <v>1</v>
      </c>
      <c r="X45" s="185" t="str">
        <f t="shared" si="8"/>
        <v> </v>
      </c>
    </row>
    <row r="46" spans="1:24" ht="12.75" customHeight="1">
      <c r="A46" s="286"/>
      <c r="B46" s="287"/>
      <c r="C46" s="288"/>
      <c r="D46" s="282"/>
      <c r="E46" s="269"/>
      <c r="F46" s="275"/>
      <c r="G46" s="300"/>
      <c r="H46" s="288"/>
      <c r="J46" s="260"/>
      <c r="K46" s="261"/>
      <c r="L46" s="263"/>
      <c r="M46" s="187">
        <v>40</v>
      </c>
      <c r="N46" s="181" t="str">
        <f>L85</f>
        <v>Рязанская</v>
      </c>
      <c r="O46" s="188">
        <f>_xlfn.SUMIFS($J$7:$J$134,$L$7:$L$134,N46,$K$7:$K$134,O$6)</f>
        <v>0</v>
      </c>
      <c r="P46" s="188">
        <f>_xlfn.SUMIFS($J$7:$J$134,$L$7:$L$134,N46,$K$7:$K$134,P$6)</f>
        <v>0</v>
      </c>
      <c r="Q46" s="189">
        <f>_xlfn.SUMIFS($J$7:$J$134,$L$7:$L$134,N46,$K$7:$K$134,Q$6)</f>
        <v>1</v>
      </c>
      <c r="R46" s="189">
        <f>_xlfn.SUMIFS($J$7:$J$134,$L$7:$L$134,N46,$K$7:$K$134,R$6)</f>
        <v>0</v>
      </c>
      <c r="T46" s="185" t="str">
        <f t="shared" si="4"/>
        <v>Рязанская</v>
      </c>
      <c r="U46" s="185" t="str">
        <f t="shared" si="5"/>
        <v> </v>
      </c>
      <c r="V46" s="185" t="str">
        <f t="shared" si="6"/>
        <v> </v>
      </c>
      <c r="W46" s="185">
        <f t="shared" si="7"/>
        <v>1</v>
      </c>
      <c r="X46" s="185" t="str">
        <f t="shared" si="8"/>
        <v> </v>
      </c>
    </row>
    <row r="47" spans="1:24" ht="12.75" customHeight="1">
      <c r="A47" s="285">
        <v>21</v>
      </c>
      <c r="B47" s="301">
        <v>21</v>
      </c>
      <c r="C47" s="288" t="s">
        <v>270</v>
      </c>
      <c r="D47" s="282" t="s">
        <v>155</v>
      </c>
      <c r="E47" s="271" t="s">
        <v>91</v>
      </c>
      <c r="F47" s="291" t="s">
        <v>156</v>
      </c>
      <c r="G47" s="300"/>
      <c r="H47" s="288" t="s">
        <v>157</v>
      </c>
      <c r="J47" s="260">
        <v>1</v>
      </c>
      <c r="K47" s="261" t="str">
        <f>_xlfn.IFERROR(RIGHT(D47,LEN(D47)-FIND("*",SUBSTITUTE(D47," ","*",LEN(D47)-LEN(SUBSTITUTE(D47," ",""))))),D47)</f>
        <v>мс</v>
      </c>
      <c r="L47" s="262" t="str">
        <f>_xlfn.IFERROR(LEFT(F47,FIND(",",F47)-1),F47)</f>
        <v>Р. Крым</v>
      </c>
      <c r="M47" s="187">
        <v>41</v>
      </c>
      <c r="N47" s="181" t="str">
        <f>L87</f>
        <v>Воронежская</v>
      </c>
      <c r="O47" s="188">
        <f>_xlfn.SUMIFS($J$7:$J$134,$L$7:$L$134,N47,$K$7:$K$134,O$6)</f>
        <v>0</v>
      </c>
      <c r="P47" s="188">
        <f>_xlfn.SUMIFS($J$7:$J$134,$L$7:$L$134,N47,$K$7:$K$134,P$6)</f>
        <v>1</v>
      </c>
      <c r="Q47" s="189">
        <f>_xlfn.SUMIFS($J$7:$J$134,$L$7:$L$134,N47,$K$7:$K$134,Q$6)</f>
        <v>0</v>
      </c>
      <c r="R47" s="189">
        <f>_xlfn.SUMIFS($J$7:$J$134,$L$7:$L$134,N47,$K$7:$K$134,R$6)</f>
        <v>0</v>
      </c>
      <c r="T47" s="185" t="str">
        <f t="shared" si="4"/>
        <v>Воронежская</v>
      </c>
      <c r="U47" s="185" t="str">
        <f t="shared" si="5"/>
        <v> </v>
      </c>
      <c r="V47" s="185">
        <f t="shared" si="6"/>
        <v>1</v>
      </c>
      <c r="W47" s="185" t="str">
        <f t="shared" si="7"/>
        <v> </v>
      </c>
      <c r="X47" s="185" t="str">
        <f t="shared" si="8"/>
        <v> </v>
      </c>
    </row>
    <row r="48" spans="1:24" ht="12.75" customHeight="1">
      <c r="A48" s="286"/>
      <c r="B48" s="301"/>
      <c r="C48" s="288"/>
      <c r="D48" s="282"/>
      <c r="E48" s="272"/>
      <c r="F48" s="291"/>
      <c r="G48" s="300"/>
      <c r="H48" s="288"/>
      <c r="J48" s="260"/>
      <c r="K48" s="261"/>
      <c r="L48" s="263"/>
      <c r="M48" s="187">
        <v>42</v>
      </c>
      <c r="N48" s="181" t="str">
        <f>L89</f>
        <v>Ярославская</v>
      </c>
      <c r="O48" s="188">
        <f>_xlfn.SUMIFS($J$7:$J$134,$L$7:$L$134,N48,$K$7:$K$134,O$6)</f>
        <v>0</v>
      </c>
      <c r="P48" s="188">
        <f>_xlfn.SUMIFS($J$7:$J$134,$L$7:$L$134,N48,$K$7:$K$134,P$6)</f>
        <v>1</v>
      </c>
      <c r="Q48" s="189">
        <f>_xlfn.SUMIFS($J$7:$J$134,$L$7:$L$134,N48,$K$7:$K$134,Q$6)</f>
        <v>0</v>
      </c>
      <c r="R48" s="189">
        <f>_xlfn.SUMIFS($J$7:$J$134,$L$7:$L$134,N48,$K$7:$K$134,R$6)</f>
        <v>0</v>
      </c>
      <c r="T48" s="185" t="str">
        <f t="shared" si="4"/>
        <v>Ярославская</v>
      </c>
      <c r="U48" s="185" t="str">
        <f t="shared" si="5"/>
        <v> </v>
      </c>
      <c r="V48" s="185">
        <f t="shared" si="6"/>
        <v>1</v>
      </c>
      <c r="W48" s="185" t="str">
        <f t="shared" si="7"/>
        <v> </v>
      </c>
      <c r="X48" s="185" t="str">
        <f t="shared" si="8"/>
        <v> </v>
      </c>
    </row>
    <row r="49" spans="1:24" ht="12.75" customHeight="1">
      <c r="A49" s="285">
        <v>22</v>
      </c>
      <c r="B49" s="287">
        <v>22</v>
      </c>
      <c r="C49" s="288" t="s">
        <v>215</v>
      </c>
      <c r="D49" s="300" t="s">
        <v>216</v>
      </c>
      <c r="E49" s="267" t="s">
        <v>101</v>
      </c>
      <c r="F49" s="297" t="s">
        <v>103</v>
      </c>
      <c r="G49" s="300"/>
      <c r="H49" s="288" t="s">
        <v>104</v>
      </c>
      <c r="J49" s="260">
        <v>1</v>
      </c>
      <c r="K49" s="261" t="str">
        <f>_xlfn.IFERROR(RIGHT(D49,LEN(D49)-FIND("*",SUBSTITUTE(D49," ","*",LEN(D49)-LEN(SUBSTITUTE(D49," ",""))))),D49)</f>
        <v>МС</v>
      </c>
      <c r="L49" s="262" t="str">
        <f>_xlfn.IFERROR(LEFT(F49,FIND(",",F49)-1),F49)</f>
        <v>С-Петербург</v>
      </c>
      <c r="M49" s="187">
        <v>43</v>
      </c>
      <c r="N49" s="181" t="str">
        <f>L91</f>
        <v>Смоленская</v>
      </c>
      <c r="O49" s="188">
        <f>_xlfn.SUMIFS($J$7:$J$134,$L$7:$L$134,N49,$K$7:$K$134,O$6)</f>
        <v>0</v>
      </c>
      <c r="P49" s="188">
        <f>_xlfn.SUMIFS($J$7:$J$134,$L$7:$L$134,N49,$K$7:$K$134,P$6)</f>
        <v>0</v>
      </c>
      <c r="Q49" s="189">
        <f>_xlfn.SUMIFS($J$7:$J$134,$L$7:$L$134,N49,$K$7:$K$134,Q$6)</f>
        <v>0</v>
      </c>
      <c r="R49" s="189">
        <f>_xlfn.SUMIFS($J$7:$J$134,$L$7:$L$134,N49,$K$7:$K$134,R$6)</f>
        <v>0</v>
      </c>
      <c r="T49" s="185" t="str">
        <f t="shared" si="4"/>
        <v>Смоленская</v>
      </c>
      <c r="U49" s="185" t="str">
        <f t="shared" si="5"/>
        <v> </v>
      </c>
      <c r="V49" s="185" t="str">
        <f t="shared" si="6"/>
        <v> </v>
      </c>
      <c r="W49" s="185" t="str">
        <f t="shared" si="7"/>
        <v> </v>
      </c>
      <c r="X49" s="185" t="str">
        <f t="shared" si="8"/>
        <v> </v>
      </c>
    </row>
    <row r="50" spans="1:24" ht="12.75" customHeight="1">
      <c r="A50" s="286"/>
      <c r="B50" s="287"/>
      <c r="C50" s="288"/>
      <c r="D50" s="309"/>
      <c r="E50" s="269"/>
      <c r="F50" s="297"/>
      <c r="G50" s="300"/>
      <c r="H50" s="288"/>
      <c r="J50" s="260"/>
      <c r="K50" s="261"/>
      <c r="L50" s="263"/>
      <c r="M50" s="187">
        <v>44</v>
      </c>
      <c r="N50" s="181" t="str">
        <f>L93</f>
        <v>Московская</v>
      </c>
      <c r="O50" s="188">
        <f>_xlfn.SUMIFS($J$7:$J$134,$L$7:$L$134,N50,$K$7:$K$134,O$6)</f>
        <v>1</v>
      </c>
      <c r="P50" s="188">
        <f>_xlfn.SUMIFS($J$7:$J$134,$L$7:$L$134,N50,$K$7:$K$134,P$6)</f>
        <v>2</v>
      </c>
      <c r="Q50" s="189">
        <f>_xlfn.SUMIFS($J$7:$J$134,$L$7:$L$134,N50,$K$7:$K$134,Q$6)</f>
        <v>0</v>
      </c>
      <c r="R50" s="189">
        <f>_xlfn.SUMIFS($J$7:$J$134,$L$7:$L$134,N50,$K$7:$K$134,R$6)</f>
        <v>0</v>
      </c>
      <c r="T50" s="185" t="str">
        <f t="shared" si="4"/>
        <v>Московская</v>
      </c>
      <c r="U50" s="185">
        <f t="shared" si="5"/>
        <v>1</v>
      </c>
      <c r="V50" s="185">
        <f t="shared" si="6"/>
        <v>2</v>
      </c>
      <c r="W50" s="185" t="str">
        <f t="shared" si="7"/>
        <v> </v>
      </c>
      <c r="X50" s="185" t="str">
        <f t="shared" si="8"/>
        <v> </v>
      </c>
    </row>
    <row r="51" spans="1:24" ht="12.75" customHeight="1">
      <c r="A51" s="285">
        <v>23</v>
      </c>
      <c r="B51" s="287">
        <v>23</v>
      </c>
      <c r="C51" s="295" t="s">
        <v>221</v>
      </c>
      <c r="D51" s="277" t="s">
        <v>222</v>
      </c>
      <c r="E51" s="267" t="s">
        <v>106</v>
      </c>
      <c r="F51" s="291" t="s">
        <v>223</v>
      </c>
      <c r="G51" s="277" t="s">
        <v>93</v>
      </c>
      <c r="H51" s="295" t="s">
        <v>107</v>
      </c>
      <c r="J51" s="260">
        <v>1</v>
      </c>
      <c r="K51" s="261" t="str">
        <f>_xlfn.IFERROR(RIGHT(D51,LEN(D51)-FIND("*",SUBSTITUTE(D51," ","*",LEN(D51)-LEN(SUBSTITUTE(D51," ",""))))),D51)</f>
        <v>мсмк</v>
      </c>
      <c r="L51" s="262" t="str">
        <f>_xlfn.IFERROR(LEFT(F51,FIND(",",F51)-1),F51)</f>
        <v>Курганская Курган МО</v>
      </c>
      <c r="M51" s="187">
        <v>45</v>
      </c>
      <c r="N51" s="181" t="str">
        <f>L95</f>
        <v>Московская</v>
      </c>
      <c r="O51" s="188">
        <f>_xlfn.SUMIFS($J$7:$J$134,$L$7:$L$134,N51,$K$7:$K$134,O$6)</f>
        <v>1</v>
      </c>
      <c r="P51" s="188">
        <f>_xlfn.SUMIFS($J$7:$J$134,$L$7:$L$134,N51,$K$7:$K$134,P$6)</f>
        <v>2</v>
      </c>
      <c r="Q51" s="189">
        <f>_xlfn.SUMIFS($J$7:$J$134,$L$7:$L$134,N51,$K$7:$K$134,Q$6)</f>
        <v>0</v>
      </c>
      <c r="R51" s="189">
        <f>_xlfn.SUMIFS($J$7:$J$134,$L$7:$L$134,N51,$K$7:$K$134,R$6)</f>
        <v>0</v>
      </c>
      <c r="T51" s="185" t="str">
        <f t="shared" si="4"/>
        <v>Московская</v>
      </c>
      <c r="U51" s="185">
        <f t="shared" si="5"/>
        <v>1</v>
      </c>
      <c r="V51" s="185">
        <f t="shared" si="6"/>
        <v>2</v>
      </c>
      <c r="W51" s="185" t="str">
        <f t="shared" si="7"/>
        <v> </v>
      </c>
      <c r="X51" s="185" t="str">
        <f t="shared" si="8"/>
        <v> </v>
      </c>
    </row>
    <row r="52" spans="1:24" ht="12.75" customHeight="1">
      <c r="A52" s="286"/>
      <c r="B52" s="287"/>
      <c r="C52" s="295"/>
      <c r="D52" s="277"/>
      <c r="E52" s="269"/>
      <c r="F52" s="291"/>
      <c r="G52" s="277"/>
      <c r="H52" s="295"/>
      <c r="J52" s="260"/>
      <c r="K52" s="261"/>
      <c r="L52" s="263"/>
      <c r="M52" s="187">
        <v>46</v>
      </c>
      <c r="N52" s="181" t="str">
        <f>L97</f>
        <v>Краснодарский край Новоросийск</v>
      </c>
      <c r="O52" s="188">
        <f>_xlfn.SUMIFS($J$7:$J$134,$L$7:$L$134,N52,$K$7:$K$134,O$6)</f>
        <v>0</v>
      </c>
      <c r="P52" s="188">
        <f>_xlfn.SUMIFS($J$7:$J$134,$L$7:$L$134,N52,$K$7:$K$134,P$6)</f>
        <v>1</v>
      </c>
      <c r="Q52" s="189">
        <f>_xlfn.SUMIFS($J$7:$J$134,$L$7:$L$134,N52,$K$7:$K$134,Q$6)</f>
        <v>0</v>
      </c>
      <c r="R52" s="189">
        <f>_xlfn.SUMIFS($J$7:$J$134,$L$7:$L$134,N52,$K$7:$K$134,R$6)</f>
        <v>0</v>
      </c>
      <c r="T52" s="185" t="str">
        <f t="shared" si="4"/>
        <v>Краснодарский край Новоросийск</v>
      </c>
      <c r="U52" s="185" t="str">
        <f t="shared" si="5"/>
        <v> </v>
      </c>
      <c r="V52" s="185">
        <f t="shared" si="6"/>
        <v>1</v>
      </c>
      <c r="W52" s="185" t="str">
        <f t="shared" si="7"/>
        <v> </v>
      </c>
      <c r="X52" s="185" t="str">
        <f t="shared" si="8"/>
        <v> </v>
      </c>
    </row>
    <row r="53" spans="1:24" ht="12.75" customHeight="1">
      <c r="A53" s="285">
        <v>24</v>
      </c>
      <c r="B53" s="287">
        <v>24</v>
      </c>
      <c r="C53" s="288" t="s">
        <v>243</v>
      </c>
      <c r="D53" s="289" t="s">
        <v>244</v>
      </c>
      <c r="E53" s="283" t="s">
        <v>106</v>
      </c>
      <c r="F53" s="303" t="s">
        <v>245</v>
      </c>
      <c r="G53" s="276"/>
      <c r="H53" s="296" t="s">
        <v>235</v>
      </c>
      <c r="J53" s="260">
        <v>1</v>
      </c>
      <c r="K53" s="261" t="str">
        <f>_xlfn.IFERROR(RIGHT(D53,LEN(D53)-FIND("*",SUBSTITUTE(D53," ","*",LEN(D53)-LEN(SUBSTITUTE(D53," ",""))))),D53)</f>
        <v>МСМК</v>
      </c>
      <c r="L53" s="262" t="str">
        <f>_xlfn.IFERROR(LEFT(F53,FIND(",",F53)-1),F53)</f>
        <v>Свердловская</v>
      </c>
      <c r="M53" s="187">
        <v>47</v>
      </c>
      <c r="N53" s="181" t="str">
        <f>L99</f>
        <v>Краснодарский край Армавир</v>
      </c>
      <c r="O53" s="188">
        <f>_xlfn.SUMIFS($J$7:$J$134,$L$7:$L$134,N53,$K$7:$K$134,O$6)</f>
        <v>0</v>
      </c>
      <c r="P53" s="188">
        <f>_xlfn.SUMIFS($J$7:$J$134,$L$7:$L$134,N53,$K$7:$K$134,P$6)</f>
        <v>1</v>
      </c>
      <c r="Q53" s="189">
        <f>_xlfn.SUMIFS($J$7:$J$134,$L$7:$L$134,N53,$K$7:$K$134,Q$6)</f>
        <v>0</v>
      </c>
      <c r="R53" s="189">
        <f>_xlfn.SUMIFS($J$7:$J$134,$L$7:$L$134,N53,$K$7:$K$134,R$6)</f>
        <v>0</v>
      </c>
      <c r="T53" s="185" t="str">
        <f t="shared" si="4"/>
        <v>Краснодарский край Армавир</v>
      </c>
      <c r="U53" s="185" t="str">
        <f t="shared" si="5"/>
        <v> </v>
      </c>
      <c r="V53" s="185">
        <f t="shared" si="6"/>
        <v>1</v>
      </c>
      <c r="W53" s="185" t="str">
        <f t="shared" si="7"/>
        <v> </v>
      </c>
      <c r="X53" s="185" t="str">
        <f t="shared" si="8"/>
        <v> </v>
      </c>
    </row>
    <row r="54" spans="1:24" ht="12.75" customHeight="1">
      <c r="A54" s="286"/>
      <c r="B54" s="287"/>
      <c r="C54" s="288"/>
      <c r="D54" s="282"/>
      <c r="E54" s="284"/>
      <c r="F54" s="303"/>
      <c r="G54" s="276"/>
      <c r="H54" s="296"/>
      <c r="J54" s="260"/>
      <c r="K54" s="261"/>
      <c r="L54" s="263"/>
      <c r="M54" s="187">
        <v>48</v>
      </c>
      <c r="N54" s="181" t="str">
        <f>L101</f>
        <v>Краснодарский</v>
      </c>
      <c r="O54" s="188">
        <f>_xlfn.SUMIFS($J$7:$J$134,$L$7:$L$134,N54,$K$7:$K$134,O$6)</f>
        <v>5</v>
      </c>
      <c r="P54" s="188">
        <f>_xlfn.SUMIFS($J$7:$J$134,$L$7:$L$134,N54,$K$7:$K$134,P$6)</f>
        <v>0</v>
      </c>
      <c r="Q54" s="189">
        <f>_xlfn.SUMIFS($J$7:$J$134,$L$7:$L$134,N54,$K$7:$K$134,Q$6)</f>
        <v>0</v>
      </c>
      <c r="R54" s="189">
        <f>_xlfn.SUMIFS($J$7:$J$134,$L$7:$L$134,N54,$K$7:$K$134,R$6)</f>
        <v>0</v>
      </c>
      <c r="T54" s="185" t="str">
        <f t="shared" si="4"/>
        <v>Краснодарский</v>
      </c>
      <c r="U54" s="185">
        <f t="shared" si="5"/>
        <v>5</v>
      </c>
      <c r="V54" s="185" t="str">
        <f t="shared" si="6"/>
        <v> </v>
      </c>
      <c r="W54" s="185" t="str">
        <f t="shared" si="7"/>
        <v> </v>
      </c>
      <c r="X54" s="185" t="str">
        <f t="shared" si="8"/>
        <v> </v>
      </c>
    </row>
    <row r="55" spans="1:24" ht="12.75" customHeight="1">
      <c r="A55" s="285">
        <v>25</v>
      </c>
      <c r="B55" s="294">
        <v>25</v>
      </c>
      <c r="C55" s="311" t="s">
        <v>171</v>
      </c>
      <c r="D55" s="281" t="s">
        <v>172</v>
      </c>
      <c r="E55" s="271" t="s">
        <v>92</v>
      </c>
      <c r="F55" s="291" t="s">
        <v>173</v>
      </c>
      <c r="G55" s="310"/>
      <c r="H55" s="299" t="s">
        <v>174</v>
      </c>
      <c r="J55" s="260">
        <v>1</v>
      </c>
      <c r="K55" s="261" t="str">
        <f>_xlfn.IFERROR(RIGHT(D55,LEN(D55)-FIND("*",SUBSTITUTE(D55," ","*",LEN(D55)-LEN(SUBSTITUTE(D55," ",""))))),D55)</f>
        <v>МС</v>
      </c>
      <c r="L55" s="262" t="str">
        <f>_xlfn.IFERROR(LEFT(F55,FIND(",",F55)-1),F55)</f>
        <v>Москва</v>
      </c>
      <c r="M55" s="187">
        <v>49</v>
      </c>
      <c r="N55" s="181">
        <f>L103</f>
        <v>0</v>
      </c>
      <c r="O55" s="188">
        <f>_xlfn.SUMIFS($J$7:$J$134,$L$7:$L$134,N55,$K$7:$K$134,O$6)</f>
        <v>0</v>
      </c>
      <c r="P55" s="188">
        <f>_xlfn.SUMIFS($J$7:$J$134,$L$7:$L$134,N55,$K$7:$K$134,P$6)</f>
        <v>0</v>
      </c>
      <c r="Q55" s="189">
        <f>_xlfn.SUMIFS($J$7:$J$134,$L$7:$L$134,N55,$K$7:$K$134,Q$6)</f>
        <v>0</v>
      </c>
      <c r="R55" s="189">
        <f>_xlfn.SUMIFS($J$7:$J$134,$L$7:$L$134,N55,$K$7:$K$134,R$6)</f>
        <v>0</v>
      </c>
      <c r="T55" s="185">
        <f t="shared" si="4"/>
        <v>0</v>
      </c>
      <c r="U55" s="185" t="str">
        <f t="shared" si="5"/>
        <v> </v>
      </c>
      <c r="V55" s="185" t="str">
        <f t="shared" si="6"/>
        <v> </v>
      </c>
      <c r="W55" s="185" t="str">
        <f t="shared" si="7"/>
        <v> </v>
      </c>
      <c r="X55" s="185" t="str">
        <f t="shared" si="8"/>
        <v> </v>
      </c>
    </row>
    <row r="56" spans="1:24" ht="12.75" customHeight="1">
      <c r="A56" s="286"/>
      <c r="B56" s="294"/>
      <c r="C56" s="311"/>
      <c r="D56" s="281"/>
      <c r="E56" s="272"/>
      <c r="F56" s="291"/>
      <c r="G56" s="310"/>
      <c r="H56" s="299"/>
      <c r="J56" s="260"/>
      <c r="K56" s="261"/>
      <c r="L56" s="263"/>
      <c r="M56" s="187">
        <v>50</v>
      </c>
      <c r="N56" s="181">
        <f>L105</f>
        <v>0</v>
      </c>
      <c r="O56" s="188">
        <f>_xlfn.SUMIFS($J$7:$J$134,$L$7:$L$134,N56,$K$7:$K$134,O$6)</f>
        <v>0</v>
      </c>
      <c r="P56" s="188">
        <f>_xlfn.SUMIFS($J$7:$J$134,$L$7:$L$134,N56,$K$7:$K$134,P$6)</f>
        <v>0</v>
      </c>
      <c r="Q56" s="189">
        <f>_xlfn.SUMIFS($J$7:$J$134,$L$7:$L$134,N56,$K$7:$K$134,Q$6)</f>
        <v>0</v>
      </c>
      <c r="R56" s="189">
        <f>_xlfn.SUMIFS($J$7:$J$134,$L$7:$L$134,N56,$K$7:$K$134,R$6)</f>
        <v>0</v>
      </c>
      <c r="T56" s="185">
        <f t="shared" si="4"/>
        <v>0</v>
      </c>
      <c r="U56" s="185" t="str">
        <f t="shared" si="5"/>
        <v> </v>
      </c>
      <c r="V56" s="185" t="str">
        <f t="shared" si="6"/>
        <v> </v>
      </c>
      <c r="W56" s="185" t="str">
        <f t="shared" si="7"/>
        <v> </v>
      </c>
      <c r="X56" s="185" t="str">
        <f t="shared" si="8"/>
        <v> </v>
      </c>
    </row>
    <row r="57" spans="1:24" ht="12.75" customHeight="1">
      <c r="A57" s="285">
        <v>26</v>
      </c>
      <c r="B57" s="301">
        <v>26</v>
      </c>
      <c r="C57" s="295" t="s">
        <v>271</v>
      </c>
      <c r="D57" s="277" t="s">
        <v>182</v>
      </c>
      <c r="E57" s="267" t="s">
        <v>96</v>
      </c>
      <c r="F57" s="291" t="s">
        <v>183</v>
      </c>
      <c r="G57" s="277" t="s">
        <v>93</v>
      </c>
      <c r="H57" s="295" t="s">
        <v>184</v>
      </c>
      <c r="J57" s="260">
        <v>1</v>
      </c>
      <c r="K57" s="261" t="str">
        <f>_xlfn.IFERROR(RIGHT(D57,LEN(D57)-FIND("*",SUBSTITUTE(D57," ","*",LEN(D57)-LEN(SUBSTITUTE(D57," ",""))))),D57)</f>
        <v>мс</v>
      </c>
      <c r="L57" s="262" t="str">
        <f>_xlfn.IFERROR(LEFT(F57,FIND(",",F57)-1),F57)</f>
        <v>Башкортостан Уфа Д</v>
      </c>
      <c r="M57" s="187">
        <v>51</v>
      </c>
      <c r="N57" s="181">
        <f>L107</f>
        <v>0</v>
      </c>
      <c r="O57" s="188">
        <f>_xlfn.SUMIFS($J$7:$J$134,$L$7:$L$134,N57,$K$7:$K$134,O$6)</f>
        <v>0</v>
      </c>
      <c r="P57" s="188">
        <f>_xlfn.SUMIFS($J$7:$J$134,$L$7:$L$134,N57,$K$7:$K$134,P$6)</f>
        <v>0</v>
      </c>
      <c r="Q57" s="189">
        <f>_xlfn.SUMIFS($J$7:$J$134,$L$7:$L$134,N57,$K$7:$K$134,Q$6)</f>
        <v>0</v>
      </c>
      <c r="R57" s="189">
        <f>_xlfn.SUMIFS($J$7:$J$134,$L$7:$L$134,N57,$K$7:$K$134,R$6)</f>
        <v>0</v>
      </c>
      <c r="T57" s="185">
        <f t="shared" si="4"/>
        <v>0</v>
      </c>
      <c r="U57" s="185" t="str">
        <f t="shared" si="5"/>
        <v> </v>
      </c>
      <c r="V57" s="185" t="str">
        <f t="shared" si="6"/>
        <v> </v>
      </c>
      <c r="W57" s="185" t="str">
        <f t="shared" si="7"/>
        <v> </v>
      </c>
      <c r="X57" s="185" t="str">
        <f t="shared" si="8"/>
        <v> </v>
      </c>
    </row>
    <row r="58" spans="1:24" ht="12.75" customHeight="1">
      <c r="A58" s="286"/>
      <c r="B58" s="301"/>
      <c r="C58" s="295"/>
      <c r="D58" s="277"/>
      <c r="E58" s="269"/>
      <c r="F58" s="291"/>
      <c r="G58" s="277"/>
      <c r="H58" s="295"/>
      <c r="J58" s="260"/>
      <c r="K58" s="261"/>
      <c r="L58" s="263"/>
      <c r="M58" s="187">
        <v>52</v>
      </c>
      <c r="N58" s="181">
        <f>L109</f>
        <v>0</v>
      </c>
      <c r="O58" s="188">
        <f>_xlfn.SUMIFS($J$7:$J$134,$L$7:$L$134,N58,$K$7:$K$134,O$6)</f>
        <v>0</v>
      </c>
      <c r="P58" s="188">
        <f>_xlfn.SUMIFS($J$7:$J$134,$L$7:$L$134,N58,$K$7:$K$134,P$6)</f>
        <v>0</v>
      </c>
      <c r="Q58" s="189">
        <f>_xlfn.SUMIFS($J$7:$J$134,$L$7:$L$134,N58,$K$7:$K$134,Q$6)</f>
        <v>0</v>
      </c>
      <c r="R58" s="189">
        <f>_xlfn.SUMIFS($J$7:$J$134,$L$7:$L$134,N58,$K$7:$K$134,R$6)</f>
        <v>0</v>
      </c>
      <c r="T58" s="185">
        <f t="shared" si="4"/>
        <v>0</v>
      </c>
      <c r="U58" s="185" t="str">
        <f t="shared" si="5"/>
        <v> </v>
      </c>
      <c r="V58" s="185" t="str">
        <f t="shared" si="6"/>
        <v> </v>
      </c>
      <c r="W58" s="185" t="str">
        <f t="shared" si="7"/>
        <v> </v>
      </c>
      <c r="X58" s="185" t="str">
        <f t="shared" si="8"/>
        <v> </v>
      </c>
    </row>
    <row r="59" spans="1:24" ht="12.75" customHeight="1">
      <c r="A59" s="285">
        <v>27</v>
      </c>
      <c r="B59" s="294">
        <v>27</v>
      </c>
      <c r="C59" s="288" t="s">
        <v>240</v>
      </c>
      <c r="D59" s="282" t="s">
        <v>241</v>
      </c>
      <c r="E59" s="283" t="s">
        <v>106</v>
      </c>
      <c r="F59" s="303" t="s">
        <v>234</v>
      </c>
      <c r="G59" s="276"/>
      <c r="H59" s="296" t="s">
        <v>242</v>
      </c>
      <c r="J59" s="260">
        <v>1</v>
      </c>
      <c r="K59" s="261" t="str">
        <f>_xlfn.IFERROR(RIGHT(D59,LEN(D59)-FIND("*",SUBSTITUTE(D59," ","*",LEN(D59)-LEN(SUBSTITUTE(D59," ",""))))),D59)</f>
        <v>МСМК</v>
      </c>
      <c r="L59" s="262" t="str">
        <f>_xlfn.IFERROR(LEFT(F59,FIND(",",F59)-1),F59)</f>
        <v>Свердловская</v>
      </c>
      <c r="M59" s="187">
        <v>53</v>
      </c>
      <c r="N59" s="181">
        <f>L111</f>
        <v>0</v>
      </c>
      <c r="O59" s="188">
        <f>_xlfn.SUMIFS($J$7:$J$134,$L$7:$L$134,N59,$K$7:$K$134,O$6)</f>
        <v>0</v>
      </c>
      <c r="P59" s="188">
        <f>_xlfn.SUMIFS($J$7:$J$134,$L$7:$L$134,N59,$K$7:$K$134,P$6)</f>
        <v>0</v>
      </c>
      <c r="Q59" s="189">
        <f>_xlfn.SUMIFS($J$7:$J$134,$L$7:$L$134,N59,$K$7:$K$134,Q$6)</f>
        <v>0</v>
      </c>
      <c r="R59" s="189">
        <f>_xlfn.SUMIFS($J$7:$J$134,$L$7:$L$134,N59,$K$7:$K$134,R$6)</f>
        <v>0</v>
      </c>
      <c r="T59" s="185">
        <f t="shared" si="4"/>
        <v>0</v>
      </c>
      <c r="U59" s="185" t="str">
        <f t="shared" si="5"/>
        <v> </v>
      </c>
      <c r="V59" s="185" t="str">
        <f t="shared" si="6"/>
        <v> </v>
      </c>
      <c r="W59" s="185" t="str">
        <f t="shared" si="7"/>
        <v> </v>
      </c>
      <c r="X59" s="185" t="str">
        <f t="shared" si="8"/>
        <v> </v>
      </c>
    </row>
    <row r="60" spans="1:24" ht="12.75" customHeight="1">
      <c r="A60" s="286"/>
      <c r="B60" s="294"/>
      <c r="C60" s="288"/>
      <c r="D60" s="282"/>
      <c r="E60" s="284"/>
      <c r="F60" s="303"/>
      <c r="G60" s="276"/>
      <c r="H60" s="296"/>
      <c r="J60" s="260"/>
      <c r="K60" s="261"/>
      <c r="L60" s="263"/>
      <c r="M60" s="187">
        <v>54</v>
      </c>
      <c r="N60" s="181">
        <f>L113</f>
        <v>0</v>
      </c>
      <c r="O60" s="188">
        <f>_xlfn.SUMIFS($J$7:$J$134,$L$7:$L$134,N60,$K$7:$K$134,O$6)</f>
        <v>0</v>
      </c>
      <c r="P60" s="188">
        <f>_xlfn.SUMIFS($J$7:$J$134,$L$7:$L$134,N60,$K$7:$K$134,P$6)</f>
        <v>0</v>
      </c>
      <c r="Q60" s="189">
        <f>_xlfn.SUMIFS($J$7:$J$134,$L$7:$L$134,N60,$K$7:$K$134,Q$6)</f>
        <v>0</v>
      </c>
      <c r="R60" s="189">
        <f>_xlfn.SUMIFS($J$7:$J$134,$L$7:$L$134,N60,$K$7:$K$134,R$6)</f>
        <v>0</v>
      </c>
      <c r="T60" s="185">
        <f t="shared" si="4"/>
        <v>0</v>
      </c>
      <c r="U60" s="185" t="str">
        <f t="shared" si="5"/>
        <v> </v>
      </c>
      <c r="V60" s="185" t="str">
        <f t="shared" si="6"/>
        <v> </v>
      </c>
      <c r="W60" s="185" t="str">
        <f t="shared" si="7"/>
        <v> </v>
      </c>
      <c r="X60" s="185" t="str">
        <f t="shared" si="8"/>
        <v> </v>
      </c>
    </row>
    <row r="61" spans="1:24" ht="12.75" customHeight="1">
      <c r="A61" s="285">
        <v>28</v>
      </c>
      <c r="B61" s="287">
        <v>28</v>
      </c>
      <c r="C61" s="288" t="s">
        <v>273</v>
      </c>
      <c r="D61" s="282" t="s">
        <v>248</v>
      </c>
      <c r="E61" s="267" t="s">
        <v>110</v>
      </c>
      <c r="F61" s="275" t="s">
        <v>249</v>
      </c>
      <c r="G61" s="300"/>
      <c r="H61" s="288" t="s">
        <v>250</v>
      </c>
      <c r="J61" s="260">
        <v>1</v>
      </c>
      <c r="K61" s="261" t="str">
        <f>_xlfn.IFERROR(RIGHT(D61,LEN(D61)-FIND("*",SUBSTITUTE(D61," ","*",LEN(D61)-LEN(SUBSTITUTE(D61," ",""))))),D61)</f>
        <v>МС</v>
      </c>
      <c r="L61" s="262" t="str">
        <f>_xlfn.IFERROR(LEFT(F61,FIND(",",F61)-1),F61)</f>
        <v>Тверская</v>
      </c>
      <c r="M61" s="187">
        <v>55</v>
      </c>
      <c r="N61" s="181">
        <f>L115</f>
        <v>0</v>
      </c>
      <c r="O61" s="188">
        <f>_xlfn.SUMIFS($J$7:$J$134,$L$7:$L$134,N61,$K$7:$K$134,O$6)</f>
        <v>0</v>
      </c>
      <c r="P61" s="188">
        <f>_xlfn.SUMIFS($J$7:$J$134,$L$7:$L$134,N61,$K$7:$K$134,P$6)</f>
        <v>0</v>
      </c>
      <c r="Q61" s="189">
        <f>_xlfn.SUMIFS($J$7:$J$134,$L$7:$L$134,N61,$K$7:$K$134,Q$6)</f>
        <v>0</v>
      </c>
      <c r="R61" s="189">
        <f>_xlfn.SUMIFS($J$7:$J$134,$L$7:$L$134,N61,$K$7:$K$134,R$6)</f>
        <v>0</v>
      </c>
      <c r="T61" s="185">
        <f t="shared" si="4"/>
        <v>0</v>
      </c>
      <c r="U61" s="185" t="str">
        <f t="shared" si="5"/>
        <v> </v>
      </c>
      <c r="V61" s="185" t="str">
        <f t="shared" si="6"/>
        <v> </v>
      </c>
      <c r="W61" s="185" t="str">
        <f t="shared" si="7"/>
        <v> </v>
      </c>
      <c r="X61" s="185" t="str">
        <f t="shared" si="8"/>
        <v> </v>
      </c>
    </row>
    <row r="62" spans="1:24" ht="12.75" customHeight="1">
      <c r="A62" s="286"/>
      <c r="B62" s="287"/>
      <c r="C62" s="288"/>
      <c r="D62" s="282"/>
      <c r="E62" s="269"/>
      <c r="F62" s="275"/>
      <c r="G62" s="300"/>
      <c r="H62" s="288"/>
      <c r="J62" s="260"/>
      <c r="K62" s="261"/>
      <c r="L62" s="263"/>
      <c r="M62" s="187">
        <v>56</v>
      </c>
      <c r="N62" s="181">
        <f>L117</f>
        <v>0</v>
      </c>
      <c r="O62" s="188">
        <f>_xlfn.SUMIFS($J$7:$J$134,$L$7:$L$134,N62,$K$7:$K$134,O$6)</f>
        <v>0</v>
      </c>
      <c r="P62" s="188">
        <f>_xlfn.SUMIFS($J$7:$J$134,$L$7:$L$134,N62,$K$7:$K$134,P$6)</f>
        <v>0</v>
      </c>
      <c r="Q62" s="189">
        <f>_xlfn.SUMIFS($J$7:$J$134,$L$7:$L$134,N62,$K$7:$K$134,Q$6)</f>
        <v>0</v>
      </c>
      <c r="R62" s="189">
        <f>_xlfn.SUMIFS($J$7:$J$134,$L$7:$L$134,N62,$K$7:$K$134,R$6)</f>
        <v>0</v>
      </c>
      <c r="T62" s="185">
        <f t="shared" si="4"/>
        <v>0</v>
      </c>
      <c r="U62" s="185" t="str">
        <f t="shared" si="5"/>
        <v> </v>
      </c>
      <c r="V62" s="185" t="str">
        <f t="shared" si="6"/>
        <v> </v>
      </c>
      <c r="W62" s="185" t="str">
        <f t="shared" si="7"/>
        <v> </v>
      </c>
      <c r="X62" s="185" t="str">
        <f t="shared" si="8"/>
        <v> </v>
      </c>
    </row>
    <row r="63" spans="1:24" ht="12.75" customHeight="1">
      <c r="A63" s="285">
        <v>29</v>
      </c>
      <c r="B63" s="287">
        <v>29</v>
      </c>
      <c r="C63" s="295" t="s">
        <v>251</v>
      </c>
      <c r="D63" s="277" t="s">
        <v>252</v>
      </c>
      <c r="E63" s="267" t="s">
        <v>110</v>
      </c>
      <c r="F63" s="291" t="s">
        <v>253</v>
      </c>
      <c r="G63" s="277" t="s">
        <v>93</v>
      </c>
      <c r="H63" s="295" t="s">
        <v>254</v>
      </c>
      <c r="J63" s="260">
        <v>1</v>
      </c>
      <c r="K63" s="261" t="str">
        <f>_xlfn.IFERROR(RIGHT(D63,LEN(D63)-FIND("*",SUBSTITUTE(D63," ","*",LEN(D63)-LEN(SUBSTITUTE(D63," ",""))))),D63)</f>
        <v>змс</v>
      </c>
      <c r="L63" s="262" t="str">
        <f>_xlfn.IFERROR(LEFT(F63,FIND(",",F63)-1),F63)</f>
        <v>Брянская Брянск ВС</v>
      </c>
      <c r="M63" s="187">
        <v>57</v>
      </c>
      <c r="N63" s="181">
        <f>L119</f>
        <v>0</v>
      </c>
      <c r="O63" s="188">
        <f>_xlfn.SUMIFS($J$7:$J$134,$L$7:$L$134,N63,$K$7:$K$134,O$6)</f>
        <v>0</v>
      </c>
      <c r="P63" s="188">
        <f>_xlfn.SUMIFS($J$7:$J$134,$L$7:$L$134,N63,$K$7:$K$134,P$6)</f>
        <v>0</v>
      </c>
      <c r="Q63" s="189">
        <f>_xlfn.SUMIFS($J$7:$J$134,$L$7:$L$134,N63,$K$7:$K$134,Q$6)</f>
        <v>0</v>
      </c>
      <c r="R63" s="189">
        <f>_xlfn.SUMIFS($J$7:$J$134,$L$7:$L$134,N63,$K$7:$K$134,R$6)</f>
        <v>0</v>
      </c>
      <c r="T63" s="185">
        <f t="shared" si="4"/>
        <v>0</v>
      </c>
      <c r="U63" s="185" t="str">
        <f t="shared" si="5"/>
        <v> </v>
      </c>
      <c r="V63" s="185" t="str">
        <f t="shared" si="6"/>
        <v> </v>
      </c>
      <c r="W63" s="185" t="str">
        <f t="shared" si="7"/>
        <v> </v>
      </c>
      <c r="X63" s="185" t="str">
        <f t="shared" si="8"/>
        <v> </v>
      </c>
    </row>
    <row r="64" spans="1:24" ht="12.75" customHeight="1">
      <c r="A64" s="286"/>
      <c r="B64" s="287"/>
      <c r="C64" s="295"/>
      <c r="D64" s="277"/>
      <c r="E64" s="269"/>
      <c r="F64" s="291"/>
      <c r="G64" s="277"/>
      <c r="H64" s="295"/>
      <c r="J64" s="260"/>
      <c r="K64" s="261"/>
      <c r="L64" s="263"/>
      <c r="M64" s="187">
        <v>58</v>
      </c>
      <c r="N64" s="181">
        <f>L121</f>
        <v>0</v>
      </c>
      <c r="O64" s="188">
        <f>_xlfn.SUMIFS($J$7:$J$134,$L$7:$L$134,N64,$K$7:$K$134,O$6)</f>
        <v>0</v>
      </c>
      <c r="P64" s="188">
        <f>_xlfn.SUMIFS($J$7:$J$134,$L$7:$L$134,N64,$K$7:$K$134,P$6)</f>
        <v>0</v>
      </c>
      <c r="Q64" s="189">
        <f>_xlfn.SUMIFS($J$7:$J$134,$L$7:$L$134,N64,$K$7:$K$134,Q$6)</f>
        <v>0</v>
      </c>
      <c r="R64" s="189">
        <f>_xlfn.SUMIFS($J$7:$J$134,$L$7:$L$134,N64,$K$7:$K$134,R$6)</f>
        <v>0</v>
      </c>
      <c r="T64" s="185">
        <f t="shared" si="4"/>
        <v>0</v>
      </c>
      <c r="U64" s="185" t="str">
        <f t="shared" si="5"/>
        <v> </v>
      </c>
      <c r="V64" s="185" t="str">
        <f t="shared" si="6"/>
        <v> </v>
      </c>
      <c r="W64" s="185" t="str">
        <f t="shared" si="7"/>
        <v> </v>
      </c>
      <c r="X64" s="185" t="str">
        <f t="shared" si="8"/>
        <v> </v>
      </c>
    </row>
    <row r="65" spans="1:24" ht="12.75" customHeight="1">
      <c r="A65" s="285">
        <v>30</v>
      </c>
      <c r="B65" s="287">
        <v>30</v>
      </c>
      <c r="C65" s="295" t="s">
        <v>224</v>
      </c>
      <c r="D65" s="277" t="s">
        <v>225</v>
      </c>
      <c r="E65" s="267" t="s">
        <v>106</v>
      </c>
      <c r="F65" s="291" t="s">
        <v>226</v>
      </c>
      <c r="G65" s="277"/>
      <c r="H65" s="295" t="s">
        <v>227</v>
      </c>
      <c r="J65" s="260">
        <v>1</v>
      </c>
      <c r="K65" s="261" t="str">
        <f>_xlfn.IFERROR(RIGHT(D65,LEN(D65)-FIND("*",SUBSTITUTE(D65," ","*",LEN(D65)-LEN(SUBSTITUTE(D65," ",""))))),D65)</f>
        <v>мс</v>
      </c>
      <c r="L65" s="262" t="str">
        <f>_xlfn.IFERROR(LEFT(F65,FIND(",",F65)-1),F65)</f>
        <v>Курганская</v>
      </c>
      <c r="M65" s="187">
        <v>59</v>
      </c>
      <c r="N65" s="181">
        <f>L123</f>
        <v>0</v>
      </c>
      <c r="O65" s="188">
        <f>_xlfn.SUMIFS($J$7:$J$134,$L$7:$L$134,N65,$K$7:$K$134,O$6)</f>
        <v>0</v>
      </c>
      <c r="P65" s="188">
        <f>_xlfn.SUMIFS($J$7:$J$134,$L$7:$L$134,N65,$K$7:$K$134,P$6)</f>
        <v>0</v>
      </c>
      <c r="Q65" s="189">
        <f>_xlfn.SUMIFS($J$7:$J$134,$L$7:$L$134,N65,$K$7:$K$134,Q$6)</f>
        <v>0</v>
      </c>
      <c r="R65" s="189">
        <f>_xlfn.SUMIFS($J$7:$J$134,$L$7:$L$134,N65,$K$7:$K$134,R$6)</f>
        <v>0</v>
      </c>
      <c r="T65" s="185">
        <f t="shared" si="4"/>
        <v>0</v>
      </c>
      <c r="U65" s="185" t="str">
        <f t="shared" si="5"/>
        <v> </v>
      </c>
      <c r="V65" s="185" t="str">
        <f t="shared" si="6"/>
        <v> </v>
      </c>
      <c r="W65" s="185" t="str">
        <f t="shared" si="7"/>
        <v> </v>
      </c>
      <c r="X65" s="185" t="str">
        <f t="shared" si="8"/>
        <v> </v>
      </c>
    </row>
    <row r="66" spans="1:24" ht="12.75" customHeight="1">
      <c r="A66" s="286"/>
      <c r="B66" s="287"/>
      <c r="C66" s="295"/>
      <c r="D66" s="277"/>
      <c r="E66" s="269"/>
      <c r="F66" s="291"/>
      <c r="G66" s="277"/>
      <c r="H66" s="295"/>
      <c r="J66" s="260"/>
      <c r="K66" s="261"/>
      <c r="L66" s="263"/>
      <c r="M66" s="187">
        <v>60</v>
      </c>
      <c r="N66" s="181">
        <f>L125</f>
        <v>0</v>
      </c>
      <c r="O66" s="188">
        <f>_xlfn.SUMIFS($J$7:$J$134,$L$7:$L$134,N66,$K$7:$K$134,O$6)</f>
        <v>0</v>
      </c>
      <c r="P66" s="188">
        <f>_xlfn.SUMIFS($J$7:$J$134,$L$7:$L$134,N66,$K$7:$K$134,P$6)</f>
        <v>0</v>
      </c>
      <c r="Q66" s="189">
        <f>_xlfn.SUMIFS($J$7:$J$134,$L$7:$L$134,N66,$K$7:$K$134,Q$6)</f>
        <v>0</v>
      </c>
      <c r="R66" s="189">
        <f>_xlfn.SUMIFS($J$7:$J$134,$L$7:$L$134,N66,$K$7:$K$134,R$6)</f>
        <v>0</v>
      </c>
      <c r="T66" s="185">
        <f t="shared" si="4"/>
        <v>0</v>
      </c>
      <c r="U66" s="185" t="str">
        <f t="shared" si="5"/>
        <v> </v>
      </c>
      <c r="V66" s="185" t="str">
        <f t="shared" si="6"/>
        <v> </v>
      </c>
      <c r="W66" s="185" t="str">
        <f t="shared" si="7"/>
        <v> </v>
      </c>
      <c r="X66" s="185" t="str">
        <f t="shared" si="8"/>
        <v> </v>
      </c>
    </row>
    <row r="67" spans="1:24" ht="12.75" customHeight="1">
      <c r="A67" s="285">
        <v>31</v>
      </c>
      <c r="B67" s="294">
        <v>31</v>
      </c>
      <c r="C67" s="288" t="s">
        <v>193</v>
      </c>
      <c r="D67" s="282" t="s">
        <v>194</v>
      </c>
      <c r="E67" s="267" t="s">
        <v>97</v>
      </c>
      <c r="F67" s="297" t="s">
        <v>98</v>
      </c>
      <c r="G67" s="300"/>
      <c r="H67" s="288" t="s">
        <v>195</v>
      </c>
      <c r="J67" s="260">
        <v>1</v>
      </c>
      <c r="K67" s="261" t="str">
        <f>_xlfn.IFERROR(RIGHT(D67,LEN(D67)-FIND("*",SUBSTITUTE(D67," ","*",LEN(D67)-LEN(SUBSTITUTE(D67," ",""))))),D67)</f>
        <v>кмс</v>
      </c>
      <c r="L67" s="262" t="str">
        <f>_xlfn.IFERROR(LEFT(F67,FIND(",",F67)-1),F67)</f>
        <v>Севастополь</v>
      </c>
      <c r="M67" s="187">
        <v>61</v>
      </c>
      <c r="N67" s="181">
        <f>L127</f>
        <v>0</v>
      </c>
      <c r="O67" s="188">
        <f>_xlfn.SUMIFS($J$7:$J$134,$L$7:$L$134,N67,$K$7:$K$134,O$6)</f>
        <v>0</v>
      </c>
      <c r="P67" s="188">
        <f>_xlfn.SUMIFS($J$7:$J$134,$L$7:$L$134,N67,$K$7:$K$134,P$6)</f>
        <v>0</v>
      </c>
      <c r="Q67" s="189">
        <f>_xlfn.SUMIFS($J$7:$J$134,$L$7:$L$134,N67,$K$7:$K$134,Q$6)</f>
        <v>0</v>
      </c>
      <c r="R67" s="189">
        <f>_xlfn.SUMIFS($J$7:$J$134,$L$7:$L$134,N67,$K$7:$K$134,R$6)</f>
        <v>0</v>
      </c>
      <c r="T67" s="185">
        <f t="shared" si="4"/>
        <v>0</v>
      </c>
      <c r="U67" s="185" t="str">
        <f t="shared" si="5"/>
        <v> </v>
      </c>
      <c r="V67" s="185" t="str">
        <f t="shared" si="6"/>
        <v> </v>
      </c>
      <c r="W67" s="185" t="str">
        <f t="shared" si="7"/>
        <v> </v>
      </c>
      <c r="X67" s="185" t="str">
        <f t="shared" si="8"/>
        <v> </v>
      </c>
    </row>
    <row r="68" spans="1:24" ht="12.75" customHeight="1">
      <c r="A68" s="286"/>
      <c r="B68" s="294"/>
      <c r="C68" s="288"/>
      <c r="D68" s="282"/>
      <c r="E68" s="269"/>
      <c r="F68" s="297"/>
      <c r="G68" s="300"/>
      <c r="H68" s="288"/>
      <c r="J68" s="260"/>
      <c r="K68" s="261"/>
      <c r="L68" s="263"/>
      <c r="M68" s="187">
        <v>62</v>
      </c>
      <c r="N68" s="181">
        <f>L129</f>
        <v>0</v>
      </c>
      <c r="O68" s="188">
        <f>_xlfn.SUMIFS($J$7:$J$134,$L$7:$L$134,N68,$K$7:$K$134,O$6)</f>
        <v>0</v>
      </c>
      <c r="P68" s="188">
        <f>_xlfn.SUMIFS($J$7:$J$134,$L$7:$L$134,N68,$K$7:$K$134,P$6)</f>
        <v>0</v>
      </c>
      <c r="Q68" s="189">
        <f>_xlfn.SUMIFS($J$7:$J$134,$L$7:$L$134,N68,$K$7:$K$134,Q$6)</f>
        <v>0</v>
      </c>
      <c r="R68" s="189">
        <f>_xlfn.SUMIFS($J$7:$J$134,$L$7:$L$134,N68,$K$7:$K$134,R$6)</f>
        <v>0</v>
      </c>
      <c r="T68" s="185">
        <f t="shared" si="4"/>
        <v>0</v>
      </c>
      <c r="U68" s="185" t="str">
        <f t="shared" si="5"/>
        <v> </v>
      </c>
      <c r="V68" s="185" t="str">
        <f t="shared" si="6"/>
        <v> </v>
      </c>
      <c r="W68" s="185" t="str">
        <f t="shared" si="7"/>
        <v> </v>
      </c>
      <c r="X68" s="185" t="str">
        <f t="shared" si="8"/>
        <v> </v>
      </c>
    </row>
    <row r="69" spans="1:24" ht="12.75" customHeight="1">
      <c r="A69" s="285">
        <v>32</v>
      </c>
      <c r="B69" s="287">
        <v>32</v>
      </c>
      <c r="C69" s="288" t="s">
        <v>185</v>
      </c>
      <c r="D69" s="282" t="s">
        <v>186</v>
      </c>
      <c r="E69" s="267" t="s">
        <v>96</v>
      </c>
      <c r="F69" s="291" t="s">
        <v>187</v>
      </c>
      <c r="G69" s="277"/>
      <c r="H69" s="295" t="s">
        <v>188</v>
      </c>
      <c r="J69" s="260">
        <v>1</v>
      </c>
      <c r="K69" s="261" t="str">
        <f>_xlfn.IFERROR(RIGHT(D69,LEN(D69)-FIND("*",SUBSTITUTE(D69," ","*",LEN(D69)-LEN(SUBSTITUTE(D69," ",""))))),D69)</f>
        <v>МС</v>
      </c>
      <c r="L69" s="262" t="str">
        <f>_xlfn.IFERROR(LEFT(F69,FIND(",",F69)-1),F69)</f>
        <v>Нижегородская</v>
      </c>
      <c r="M69" s="187">
        <v>63</v>
      </c>
      <c r="N69" s="181">
        <f>L131</f>
        <v>0</v>
      </c>
      <c r="O69" s="188">
        <f>_xlfn.SUMIFS($J$7:$J$134,$L$7:$L$134,N69,$K$7:$K$134,O$6)</f>
        <v>0</v>
      </c>
      <c r="P69" s="188">
        <f>_xlfn.SUMIFS($J$7:$J$134,$L$7:$L$134,N69,$K$7:$K$134,P$6)</f>
        <v>0</v>
      </c>
      <c r="Q69" s="189">
        <f>_xlfn.SUMIFS($J$7:$J$134,$L$7:$L$134,N69,$K$7:$K$134,Q$6)</f>
        <v>0</v>
      </c>
      <c r="R69" s="189">
        <f>_xlfn.SUMIFS($J$7:$J$134,$L$7:$L$134,N69,$K$7:$K$134,R$6)</f>
        <v>0</v>
      </c>
      <c r="T69" s="185">
        <f t="shared" si="4"/>
        <v>0</v>
      </c>
      <c r="U69" s="185" t="str">
        <f t="shared" si="5"/>
        <v> </v>
      </c>
      <c r="V69" s="185" t="str">
        <f t="shared" si="6"/>
        <v> </v>
      </c>
      <c r="W69" s="185" t="str">
        <f t="shared" si="7"/>
        <v> </v>
      </c>
      <c r="X69" s="185" t="str">
        <f t="shared" si="8"/>
        <v> </v>
      </c>
    </row>
    <row r="70" spans="1:24" ht="12.75" customHeight="1">
      <c r="A70" s="286"/>
      <c r="B70" s="287"/>
      <c r="C70" s="288"/>
      <c r="D70" s="282"/>
      <c r="E70" s="269"/>
      <c r="F70" s="291"/>
      <c r="G70" s="277"/>
      <c r="H70" s="295"/>
      <c r="J70" s="260"/>
      <c r="K70" s="261"/>
      <c r="L70" s="263"/>
      <c r="M70" s="187">
        <v>64</v>
      </c>
      <c r="N70" s="181">
        <f>L133</f>
        <v>0</v>
      </c>
      <c r="O70" s="188">
        <f>_xlfn.SUMIFS($J$7:$J$134,$L$7:$L$134,N70,$K$7:$K$134,O$6)</f>
        <v>0</v>
      </c>
      <c r="P70" s="188">
        <f>_xlfn.SUMIFS($J$7:$J$134,$L$7:$L$134,N70,$K$7:$K$134,P$6)</f>
        <v>0</v>
      </c>
      <c r="Q70" s="189">
        <f>_xlfn.SUMIFS($J$7:$J$134,$L$7:$L$134,N70,$K$7:$K$134,Q$6)</f>
        <v>0</v>
      </c>
      <c r="R70" s="189">
        <f>_xlfn.SUMIFS($J$7:$J$134,$L$7:$L$134,N70,$K$7:$K$134,R$6)</f>
        <v>0</v>
      </c>
      <c r="T70" s="185">
        <f t="shared" si="4"/>
        <v>0</v>
      </c>
      <c r="U70" s="185" t="str">
        <f t="shared" si="5"/>
        <v> </v>
      </c>
      <c r="V70" s="185" t="str">
        <f t="shared" si="6"/>
        <v> </v>
      </c>
      <c r="W70" s="185" t="str">
        <f t="shared" si="7"/>
        <v> </v>
      </c>
      <c r="X70" s="185" t="str">
        <f t="shared" si="8"/>
        <v> </v>
      </c>
    </row>
    <row r="71" spans="1:69" ht="12.75" customHeight="1">
      <c r="A71" s="285">
        <v>33</v>
      </c>
      <c r="B71" s="294">
        <v>33</v>
      </c>
      <c r="C71" s="296" t="s">
        <v>212</v>
      </c>
      <c r="D71" s="276" t="s">
        <v>213</v>
      </c>
      <c r="E71" s="267" t="s">
        <v>101</v>
      </c>
      <c r="F71" s="297" t="s">
        <v>102</v>
      </c>
      <c r="G71" s="300"/>
      <c r="H71" s="288" t="s">
        <v>214</v>
      </c>
      <c r="I71" s="12"/>
      <c r="J71" s="260">
        <v>1</v>
      </c>
      <c r="K71" s="261" t="str">
        <f>_xlfn.IFERROR(RIGHT(D71,LEN(D71)-FIND("*",SUBSTITUTE(D71," ","*",LEN(D71)-LEN(SUBSTITUTE(D71," ",""))))),D71)</f>
        <v>КМС</v>
      </c>
      <c r="L71" s="262" t="str">
        <f>_xlfn.IFERROR(LEFT(F71,FIND(",",F71)-1),F71)</f>
        <v>С-Петербург</v>
      </c>
      <c r="M71" s="12"/>
      <c r="N71" s="197"/>
      <c r="O71" s="198"/>
      <c r="P71" s="198"/>
      <c r="Q71" s="199"/>
      <c r="R71" s="199"/>
      <c r="S71" s="12">
        <f>SUM(O7:R70)</f>
        <v>129</v>
      </c>
      <c r="T71" s="12"/>
      <c r="U71" s="12"/>
      <c r="V71" s="12"/>
      <c r="W71" s="12"/>
      <c r="X71" s="12"/>
      <c r="Y71" s="12">
        <f>SUM(U7:X70)</f>
        <v>129</v>
      </c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</row>
    <row r="72" spans="1:18" ht="12.75" customHeight="1">
      <c r="A72" s="286"/>
      <c r="B72" s="294"/>
      <c r="C72" s="296"/>
      <c r="D72" s="276"/>
      <c r="E72" s="269"/>
      <c r="F72" s="297"/>
      <c r="G72" s="300"/>
      <c r="H72" s="288"/>
      <c r="J72" s="260"/>
      <c r="K72" s="261"/>
      <c r="L72" s="263"/>
      <c r="M72" s="12"/>
      <c r="N72" s="197"/>
      <c r="O72" s="198"/>
      <c r="P72" s="198"/>
      <c r="Q72" s="199"/>
      <c r="R72" s="199"/>
    </row>
    <row r="73" spans="1:18" ht="12.75" customHeight="1">
      <c r="A73" s="285">
        <v>34</v>
      </c>
      <c r="B73" s="301"/>
      <c r="C73" s="295" t="s">
        <v>258</v>
      </c>
      <c r="D73" s="277" t="s">
        <v>259</v>
      </c>
      <c r="E73" s="267" t="s">
        <v>142</v>
      </c>
      <c r="F73" s="291" t="s">
        <v>260</v>
      </c>
      <c r="G73" s="277"/>
      <c r="H73" s="295" t="s">
        <v>261</v>
      </c>
      <c r="J73" s="260">
        <v>1</v>
      </c>
      <c r="K73" s="261" t="str">
        <f>_xlfn.IFERROR(RIGHT(D73,LEN(D73)-FIND("*",SUBSTITUTE(D73," ","*",LEN(D73)-LEN(SUBSTITUTE(D73," ",""))))),D73)</f>
        <v>МС</v>
      </c>
      <c r="L73" s="262" t="str">
        <f>_xlfn.IFERROR(LEFT(F73,FIND(",",F73)-1),F73)</f>
        <v>Краснодарский край Курганинск</v>
      </c>
      <c r="M73" s="12"/>
      <c r="N73" s="197"/>
      <c r="O73" s="198"/>
      <c r="P73" s="198"/>
      <c r="Q73" s="199"/>
      <c r="R73" s="199"/>
    </row>
    <row r="74" spans="1:18" ht="12.75" customHeight="1">
      <c r="A74" s="286"/>
      <c r="B74" s="301"/>
      <c r="C74" s="295"/>
      <c r="D74" s="277"/>
      <c r="E74" s="269"/>
      <c r="F74" s="291"/>
      <c r="G74" s="277"/>
      <c r="H74" s="295"/>
      <c r="J74" s="260"/>
      <c r="K74" s="261"/>
      <c r="L74" s="263"/>
      <c r="M74" s="12"/>
      <c r="N74" s="197"/>
      <c r="O74" s="198"/>
      <c r="P74" s="198"/>
      <c r="Q74" s="199"/>
      <c r="R74" s="199"/>
    </row>
    <row r="75" spans="1:18" ht="12.75" customHeight="1">
      <c r="A75" s="285">
        <v>35</v>
      </c>
      <c r="B75" s="287"/>
      <c r="C75" s="288" t="s">
        <v>262</v>
      </c>
      <c r="D75" s="289" t="s">
        <v>263</v>
      </c>
      <c r="E75" s="278" t="s">
        <v>142</v>
      </c>
      <c r="F75" s="297" t="s">
        <v>264</v>
      </c>
      <c r="G75" s="300"/>
      <c r="H75" s="288" t="s">
        <v>265</v>
      </c>
      <c r="J75" s="260">
        <v>1</v>
      </c>
      <c r="K75" s="261" t="str">
        <f>_xlfn.IFERROR(RIGHT(D75,LEN(D75)-FIND("*",SUBSTITUTE(D75," ","*",LEN(D75)-LEN(SUBSTITUTE(D75," ",""))))),D75)</f>
        <v>КМС</v>
      </c>
      <c r="L75" s="262" t="str">
        <f>_xlfn.IFERROR(LEFT(F75,FIND(",",F75)-1),F75)</f>
        <v>Краснодарский</v>
      </c>
      <c r="M75" s="12"/>
      <c r="N75" s="197"/>
      <c r="O75" s="198"/>
      <c r="P75" s="198"/>
      <c r="Q75" s="199"/>
      <c r="R75" s="199"/>
    </row>
    <row r="76" spans="1:18" ht="12.75" customHeight="1">
      <c r="A76" s="286"/>
      <c r="B76" s="287"/>
      <c r="C76" s="288"/>
      <c r="D76" s="290"/>
      <c r="E76" s="279"/>
      <c r="F76" s="297"/>
      <c r="G76" s="300"/>
      <c r="H76" s="290"/>
      <c r="J76" s="260"/>
      <c r="K76" s="261"/>
      <c r="L76" s="263"/>
      <c r="M76" s="12"/>
      <c r="N76" s="197"/>
      <c r="O76" s="198"/>
      <c r="P76" s="198"/>
      <c r="Q76" s="199"/>
      <c r="R76" s="199"/>
    </row>
    <row r="77" spans="1:18" ht="12.75" customHeight="1">
      <c r="A77" s="285">
        <v>36</v>
      </c>
      <c r="B77" s="287"/>
      <c r="C77" s="288" t="s">
        <v>266</v>
      </c>
      <c r="D77" s="289" t="s">
        <v>267</v>
      </c>
      <c r="E77" s="278" t="s">
        <v>142</v>
      </c>
      <c r="F77" s="297" t="s">
        <v>264</v>
      </c>
      <c r="G77" s="300"/>
      <c r="H77" s="288" t="s">
        <v>268</v>
      </c>
      <c r="J77" s="260">
        <v>1</v>
      </c>
      <c r="K77" s="261" t="str">
        <f>_xlfn.IFERROR(RIGHT(D77,LEN(D77)-FIND("*",SUBSTITUTE(D77," ","*",LEN(D77)-LEN(SUBSTITUTE(D77," ",""))))),D77)</f>
        <v>КМС</v>
      </c>
      <c r="L77" s="262" t="str">
        <f>_xlfn.IFERROR(LEFT(F77,FIND(",",F77)-1),F77)</f>
        <v>Краснодарский</v>
      </c>
      <c r="M77" s="12"/>
      <c r="N77" s="197"/>
      <c r="O77" s="198"/>
      <c r="P77" s="198"/>
      <c r="Q77" s="199"/>
      <c r="R77" s="199"/>
    </row>
    <row r="78" spans="1:18" ht="12.75" customHeight="1">
      <c r="A78" s="286"/>
      <c r="B78" s="287"/>
      <c r="C78" s="288"/>
      <c r="D78" s="290"/>
      <c r="E78" s="279"/>
      <c r="F78" s="297"/>
      <c r="G78" s="300"/>
      <c r="H78" s="290"/>
      <c r="J78" s="260"/>
      <c r="K78" s="261"/>
      <c r="L78" s="263"/>
      <c r="M78" s="12"/>
      <c r="N78" s="197"/>
      <c r="O78" s="198"/>
      <c r="P78" s="198"/>
      <c r="Q78" s="199"/>
      <c r="R78" s="199"/>
    </row>
    <row r="79" spans="1:18" ht="12.75" customHeight="1">
      <c r="A79" s="285">
        <v>37</v>
      </c>
      <c r="B79" s="287"/>
      <c r="C79" s="288" t="s">
        <v>108</v>
      </c>
      <c r="D79" s="282" t="s">
        <v>109</v>
      </c>
      <c r="E79" s="267" t="s">
        <v>110</v>
      </c>
      <c r="F79" s="275" t="s">
        <v>111</v>
      </c>
      <c r="G79" s="300"/>
      <c r="H79" s="288" t="s">
        <v>112</v>
      </c>
      <c r="J79" s="260">
        <v>1</v>
      </c>
      <c r="K79" s="261" t="str">
        <f>_xlfn.IFERROR(RIGHT(D79,LEN(D79)-FIND("*",SUBSTITUTE(D79," ","*",LEN(D79)-LEN(SUBSTITUTE(D79," ",""))))),D79)</f>
        <v>КМС</v>
      </c>
      <c r="L79" s="262" t="str">
        <f>_xlfn.IFERROR(LEFT(F79,FIND(",",F79)-1),F79)</f>
        <v>Ивановская</v>
      </c>
      <c r="M79" s="12"/>
      <c r="N79" s="197"/>
      <c r="O79" s="198"/>
      <c r="P79" s="198"/>
      <c r="Q79" s="199"/>
      <c r="R79" s="199"/>
    </row>
    <row r="80" spans="1:18" ht="12.75" customHeight="1">
      <c r="A80" s="286"/>
      <c r="B80" s="287"/>
      <c r="C80" s="288"/>
      <c r="D80" s="282"/>
      <c r="E80" s="269"/>
      <c r="F80" s="275"/>
      <c r="G80" s="300"/>
      <c r="H80" s="288"/>
      <c r="J80" s="260"/>
      <c r="K80" s="261"/>
      <c r="L80" s="263"/>
      <c r="M80" s="12"/>
      <c r="N80" s="197"/>
      <c r="O80" s="198"/>
      <c r="P80" s="198"/>
      <c r="Q80" s="199"/>
      <c r="R80" s="199"/>
    </row>
    <row r="81" spans="1:18" ht="12.75" customHeight="1">
      <c r="A81" s="294">
        <v>38</v>
      </c>
      <c r="B81" s="287"/>
      <c r="C81" s="295" t="s">
        <v>113</v>
      </c>
      <c r="D81" s="277" t="s">
        <v>114</v>
      </c>
      <c r="E81" s="267" t="s">
        <v>110</v>
      </c>
      <c r="F81" s="291" t="s">
        <v>115</v>
      </c>
      <c r="G81" s="277" t="s">
        <v>93</v>
      </c>
      <c r="H81" s="295" t="s">
        <v>116</v>
      </c>
      <c r="J81" s="260">
        <v>1</v>
      </c>
      <c r="K81" s="261" t="str">
        <f>_xlfn.IFERROR(RIGHT(D81,LEN(D81)-FIND("*",SUBSTITUTE(D81," ","*",LEN(D81)-LEN(SUBSTITUTE(D81," ",""))))),D81)</f>
        <v>мсмк</v>
      </c>
      <c r="L81" s="262" t="str">
        <f>_xlfn.IFERROR(LEFT(F81,FIND(",",F81)-1),F81)</f>
        <v>Брянская Брянск Д</v>
      </c>
      <c r="M81" s="12"/>
      <c r="N81" s="197"/>
      <c r="O81" s="198"/>
      <c r="P81" s="198"/>
      <c r="Q81" s="199"/>
      <c r="R81" s="199"/>
    </row>
    <row r="82" spans="1:18" ht="12.75" customHeight="1">
      <c r="A82" s="314"/>
      <c r="B82" s="287"/>
      <c r="C82" s="295"/>
      <c r="D82" s="277"/>
      <c r="E82" s="269"/>
      <c r="F82" s="291"/>
      <c r="G82" s="277"/>
      <c r="H82" s="295"/>
      <c r="J82" s="260"/>
      <c r="K82" s="261"/>
      <c r="L82" s="263"/>
      <c r="M82" s="12"/>
      <c r="N82" s="197"/>
      <c r="O82" s="198"/>
      <c r="P82" s="198"/>
      <c r="Q82" s="199"/>
      <c r="R82" s="199"/>
    </row>
    <row r="83" spans="1:18" ht="12.75" customHeight="1">
      <c r="A83" s="285">
        <v>39</v>
      </c>
      <c r="B83" s="287"/>
      <c r="C83" s="295" t="s">
        <v>117</v>
      </c>
      <c r="D83" s="277" t="s">
        <v>118</v>
      </c>
      <c r="E83" s="267" t="s">
        <v>110</v>
      </c>
      <c r="F83" s="291" t="s">
        <v>115</v>
      </c>
      <c r="G83" s="277" t="s">
        <v>119</v>
      </c>
      <c r="H83" s="295" t="s">
        <v>120</v>
      </c>
      <c r="J83" s="260">
        <v>1</v>
      </c>
      <c r="K83" s="261" t="str">
        <f>_xlfn.IFERROR(RIGHT(D83,LEN(D83)-FIND("*",SUBSTITUTE(D83," ","*",LEN(D83)-LEN(SUBSTITUTE(D83," ",""))))),D83)</f>
        <v>мс</v>
      </c>
      <c r="L83" s="262" t="str">
        <f>_xlfn.IFERROR(LEFT(F83,FIND(",",F83)-1),F83)</f>
        <v>Брянская Брянск Д</v>
      </c>
      <c r="M83" s="12"/>
      <c r="N83" s="197"/>
      <c r="O83" s="198"/>
      <c r="P83" s="198"/>
      <c r="Q83" s="199"/>
      <c r="R83" s="199"/>
    </row>
    <row r="84" spans="1:18" ht="12.75" customHeight="1">
      <c r="A84" s="286"/>
      <c r="B84" s="287"/>
      <c r="C84" s="295"/>
      <c r="D84" s="277"/>
      <c r="E84" s="269"/>
      <c r="F84" s="291"/>
      <c r="G84" s="277"/>
      <c r="H84" s="295"/>
      <c r="J84" s="260"/>
      <c r="K84" s="261"/>
      <c r="L84" s="263"/>
      <c r="M84" s="12"/>
      <c r="N84" s="197"/>
      <c r="O84" s="198"/>
      <c r="P84" s="198"/>
      <c r="Q84" s="199"/>
      <c r="R84" s="199"/>
    </row>
    <row r="85" spans="1:18" ht="12.75" customHeight="1">
      <c r="A85" s="294">
        <v>40</v>
      </c>
      <c r="B85" s="287"/>
      <c r="C85" s="288" t="s">
        <v>121</v>
      </c>
      <c r="D85" s="289" t="s">
        <v>122</v>
      </c>
      <c r="E85" s="267" t="s">
        <v>110</v>
      </c>
      <c r="F85" s="291" t="s">
        <v>123</v>
      </c>
      <c r="G85" s="305"/>
      <c r="H85" s="295" t="s">
        <v>124</v>
      </c>
      <c r="J85" s="260">
        <v>1</v>
      </c>
      <c r="K85" s="261" t="str">
        <f>_xlfn.IFERROR(RIGHT(D85,LEN(D85)-FIND("*",SUBSTITUTE(D85," ","*",LEN(D85)-LEN(SUBSTITUTE(D85," ",""))))),D85)</f>
        <v>МСМК</v>
      </c>
      <c r="L85" s="262" t="str">
        <f>_xlfn.IFERROR(LEFT(F85,FIND(",",F85)-1),F85)</f>
        <v>Рязанская</v>
      </c>
      <c r="M85" s="12"/>
      <c r="N85" s="197"/>
      <c r="O85" s="198"/>
      <c r="P85" s="198"/>
      <c r="Q85" s="199"/>
      <c r="R85" s="199"/>
    </row>
    <row r="86" spans="1:18" ht="12.75" customHeight="1">
      <c r="A86" s="314"/>
      <c r="B86" s="287"/>
      <c r="C86" s="315"/>
      <c r="D86" s="315"/>
      <c r="E86" s="269"/>
      <c r="F86" s="291"/>
      <c r="G86" s="305"/>
      <c r="H86" s="295"/>
      <c r="J86" s="260"/>
      <c r="K86" s="261"/>
      <c r="L86" s="263"/>
      <c r="M86" s="12"/>
      <c r="N86" s="197"/>
      <c r="O86" s="198"/>
      <c r="P86" s="198"/>
      <c r="Q86" s="199"/>
      <c r="R86" s="199"/>
    </row>
    <row r="87" spans="1:18" ht="12.75" customHeight="1">
      <c r="A87" s="285">
        <v>41</v>
      </c>
      <c r="B87" s="287"/>
      <c r="C87" s="288" t="s">
        <v>125</v>
      </c>
      <c r="D87" s="282" t="s">
        <v>126</v>
      </c>
      <c r="E87" s="267" t="s">
        <v>110</v>
      </c>
      <c r="F87" s="291" t="s">
        <v>127</v>
      </c>
      <c r="G87" s="305"/>
      <c r="H87" s="295" t="s">
        <v>128</v>
      </c>
      <c r="J87" s="260">
        <v>1</v>
      </c>
      <c r="K87" s="261" t="str">
        <f>_xlfn.IFERROR(RIGHT(D87,LEN(D87)-FIND("*",SUBSTITUTE(D87," ","*",LEN(D87)-LEN(SUBSTITUTE(D87," ",""))))),D87)</f>
        <v>МС</v>
      </c>
      <c r="L87" s="262" t="str">
        <f>_xlfn.IFERROR(LEFT(F87,FIND(",",F87)-1),F87)</f>
        <v>Воронежская</v>
      </c>
      <c r="M87" s="12"/>
      <c r="N87" s="197"/>
      <c r="O87" s="198"/>
      <c r="P87" s="198"/>
      <c r="Q87" s="199"/>
      <c r="R87" s="199"/>
    </row>
    <row r="88" spans="1:18" ht="12.75" customHeight="1">
      <c r="A88" s="286"/>
      <c r="B88" s="287"/>
      <c r="C88" s="288"/>
      <c r="D88" s="282"/>
      <c r="E88" s="269"/>
      <c r="F88" s="291"/>
      <c r="G88" s="305"/>
      <c r="H88" s="295"/>
      <c r="J88" s="260"/>
      <c r="K88" s="261"/>
      <c r="L88" s="263"/>
      <c r="M88" s="12"/>
      <c r="N88" s="197"/>
      <c r="O88" s="198"/>
      <c r="P88" s="198"/>
      <c r="Q88" s="199"/>
      <c r="R88" s="199"/>
    </row>
    <row r="89" spans="1:18" ht="12.75" customHeight="1">
      <c r="A89" s="294">
        <v>42</v>
      </c>
      <c r="B89" s="287"/>
      <c r="C89" s="288" t="s">
        <v>129</v>
      </c>
      <c r="D89" s="282" t="s">
        <v>130</v>
      </c>
      <c r="E89" s="271" t="s">
        <v>110</v>
      </c>
      <c r="F89" s="316" t="s">
        <v>131</v>
      </c>
      <c r="G89" s="317"/>
      <c r="H89" s="288" t="s">
        <v>132</v>
      </c>
      <c r="J89" s="260">
        <v>1</v>
      </c>
      <c r="K89" s="261" t="str">
        <f>_xlfn.IFERROR(RIGHT(D89,LEN(D89)-FIND("*",SUBSTITUTE(D89," ","*",LEN(D89)-LEN(SUBSTITUTE(D89," ",""))))),D89)</f>
        <v>МС</v>
      </c>
      <c r="L89" s="262" t="str">
        <f>_xlfn.IFERROR(LEFT(F89,FIND(",",F89)-1),F89)</f>
        <v>Ярославская</v>
      </c>
      <c r="M89" s="12"/>
      <c r="N89" s="197"/>
      <c r="O89" s="198"/>
      <c r="P89" s="198"/>
      <c r="Q89" s="199"/>
      <c r="R89" s="199"/>
    </row>
    <row r="90" spans="1:18" ht="12.75" customHeight="1">
      <c r="A90" s="314"/>
      <c r="B90" s="287"/>
      <c r="C90" s="288"/>
      <c r="D90" s="282"/>
      <c r="E90" s="272"/>
      <c r="F90" s="316"/>
      <c r="G90" s="317"/>
      <c r="H90" s="288"/>
      <c r="J90" s="260"/>
      <c r="K90" s="261"/>
      <c r="L90" s="263"/>
      <c r="M90" s="12"/>
      <c r="N90" s="197"/>
      <c r="O90" s="198"/>
      <c r="P90" s="198"/>
      <c r="Q90" s="199"/>
      <c r="R90" s="199"/>
    </row>
    <row r="91" spans="1:18" ht="12.75" customHeight="1">
      <c r="A91" s="285">
        <v>43</v>
      </c>
      <c r="B91" s="287"/>
      <c r="C91" s="288" t="s">
        <v>133</v>
      </c>
      <c r="D91" s="289">
        <v>32198</v>
      </c>
      <c r="E91" s="271" t="s">
        <v>110</v>
      </c>
      <c r="F91" s="291" t="s">
        <v>134</v>
      </c>
      <c r="G91" s="300"/>
      <c r="H91" s="288" t="s">
        <v>135</v>
      </c>
      <c r="J91" s="260">
        <v>1</v>
      </c>
      <c r="K91" s="261">
        <f>_xlfn.IFERROR(RIGHT(D91,LEN(D91)-FIND("*",SUBSTITUTE(D91," ","*",LEN(D91)-LEN(SUBSTITUTE(D91," ",""))))),D91)</f>
        <v>32198</v>
      </c>
      <c r="L91" s="262" t="str">
        <f>_xlfn.IFERROR(LEFT(F91,FIND(",",F91)-1),F91)</f>
        <v>Смоленская</v>
      </c>
      <c r="M91" s="12"/>
      <c r="N91" s="197"/>
      <c r="O91" s="198"/>
      <c r="P91" s="198"/>
      <c r="Q91" s="199"/>
      <c r="R91" s="199"/>
    </row>
    <row r="92" spans="1:18" ht="12.75" customHeight="1">
      <c r="A92" s="286"/>
      <c r="B92" s="287"/>
      <c r="C92" s="288"/>
      <c r="D92" s="282"/>
      <c r="E92" s="272"/>
      <c r="F92" s="291"/>
      <c r="G92" s="300"/>
      <c r="H92" s="288"/>
      <c r="J92" s="260"/>
      <c r="K92" s="261"/>
      <c r="L92" s="263"/>
      <c r="M92" s="12"/>
      <c r="N92" s="197"/>
      <c r="O92" s="198"/>
      <c r="P92" s="198"/>
      <c r="Q92" s="199"/>
      <c r="R92" s="199"/>
    </row>
    <row r="93" spans="1:18" ht="12.75" customHeight="1">
      <c r="A93" s="294">
        <v>44</v>
      </c>
      <c r="B93" s="287"/>
      <c r="C93" s="288" t="s">
        <v>153</v>
      </c>
      <c r="D93" s="282" t="s">
        <v>136</v>
      </c>
      <c r="E93" s="271" t="s">
        <v>110</v>
      </c>
      <c r="F93" s="291" t="s">
        <v>137</v>
      </c>
      <c r="G93" s="300"/>
      <c r="H93" s="288" t="s">
        <v>138</v>
      </c>
      <c r="J93" s="260">
        <v>1</v>
      </c>
      <c r="K93" s="261" t="str">
        <f>_xlfn.IFERROR(RIGHT(D93,LEN(D93)-FIND("*",SUBSTITUTE(D93," ","*",LEN(D93)-LEN(SUBSTITUTE(D93," ",""))))),D93)</f>
        <v>мс</v>
      </c>
      <c r="L93" s="262" t="str">
        <f>_xlfn.IFERROR(LEFT(F93,FIND(",",F93)-1),F93)</f>
        <v>Московская</v>
      </c>
      <c r="M93" s="12"/>
      <c r="N93" s="197"/>
      <c r="O93" s="198"/>
      <c r="P93" s="198"/>
      <c r="Q93" s="199"/>
      <c r="R93" s="199"/>
    </row>
    <row r="94" spans="1:18" ht="12.75" customHeight="1">
      <c r="A94" s="314"/>
      <c r="B94" s="287"/>
      <c r="C94" s="288"/>
      <c r="D94" s="282"/>
      <c r="E94" s="272"/>
      <c r="F94" s="291"/>
      <c r="G94" s="300"/>
      <c r="H94" s="288"/>
      <c r="J94" s="260"/>
      <c r="K94" s="261"/>
      <c r="L94" s="263"/>
      <c r="M94" s="12"/>
      <c r="N94" s="197"/>
      <c r="O94" s="198"/>
      <c r="P94" s="198"/>
      <c r="Q94" s="199"/>
      <c r="R94" s="199"/>
    </row>
    <row r="95" spans="1:18" ht="12.75" customHeight="1">
      <c r="A95" s="285">
        <v>45</v>
      </c>
      <c r="B95" s="287"/>
      <c r="C95" s="288" t="s">
        <v>154</v>
      </c>
      <c r="D95" s="282" t="s">
        <v>139</v>
      </c>
      <c r="E95" s="271" t="s">
        <v>110</v>
      </c>
      <c r="F95" s="291" t="s">
        <v>137</v>
      </c>
      <c r="G95" s="300"/>
      <c r="H95" s="288" t="s">
        <v>138</v>
      </c>
      <c r="J95" s="260">
        <v>1</v>
      </c>
      <c r="K95" s="261" t="str">
        <f>_xlfn.IFERROR(RIGHT(D95,LEN(D95)-FIND("*",SUBSTITUTE(D95," ","*",LEN(D95)-LEN(SUBSTITUTE(D95," ",""))))),D95)</f>
        <v>кмс</v>
      </c>
      <c r="L95" s="262" t="str">
        <f>_xlfn.IFERROR(LEFT(F95,FIND(",",F95)-1),F95)</f>
        <v>Московская</v>
      </c>
      <c r="M95" s="12"/>
      <c r="N95" s="197"/>
      <c r="O95" s="198"/>
      <c r="P95" s="198"/>
      <c r="Q95" s="199"/>
      <c r="R95" s="199"/>
    </row>
    <row r="96" spans="1:18" ht="12.75" customHeight="1">
      <c r="A96" s="286"/>
      <c r="B96" s="287"/>
      <c r="C96" s="288"/>
      <c r="D96" s="282"/>
      <c r="E96" s="272"/>
      <c r="F96" s="291"/>
      <c r="G96" s="300"/>
      <c r="H96" s="288"/>
      <c r="J96" s="260"/>
      <c r="K96" s="261"/>
      <c r="L96" s="263"/>
      <c r="M96" s="12"/>
      <c r="N96" s="197"/>
      <c r="O96" s="198"/>
      <c r="P96" s="198"/>
      <c r="Q96" s="199"/>
      <c r="R96" s="199"/>
    </row>
    <row r="97" spans="1:18" ht="12.75" customHeight="1">
      <c r="A97" s="294">
        <v>46</v>
      </c>
      <c r="B97" s="287"/>
      <c r="C97" s="295" t="s">
        <v>140</v>
      </c>
      <c r="D97" s="277" t="s">
        <v>141</v>
      </c>
      <c r="E97" s="267" t="s">
        <v>142</v>
      </c>
      <c r="F97" s="291" t="s">
        <v>143</v>
      </c>
      <c r="G97" s="277"/>
      <c r="H97" s="295" t="s">
        <v>144</v>
      </c>
      <c r="J97" s="260">
        <v>1</v>
      </c>
      <c r="K97" s="261" t="str">
        <f>_xlfn.IFERROR(RIGHT(D97,LEN(D97)-FIND("*",SUBSTITUTE(D97," ","*",LEN(D97)-LEN(SUBSTITUTE(D97," ",""))))),D97)</f>
        <v>мс</v>
      </c>
      <c r="L97" s="262" t="str">
        <f>_xlfn.IFERROR(LEFT(F97,FIND(",",F97)-1),F97)</f>
        <v>Краснодарский край Новоросийск</v>
      </c>
      <c r="M97" s="12"/>
      <c r="N97" s="197"/>
      <c r="O97" s="198"/>
      <c r="P97" s="198"/>
      <c r="Q97" s="199"/>
      <c r="R97" s="199"/>
    </row>
    <row r="98" spans="1:18" ht="12.75" customHeight="1">
      <c r="A98" s="314"/>
      <c r="B98" s="287"/>
      <c r="C98" s="295"/>
      <c r="D98" s="277"/>
      <c r="E98" s="269"/>
      <c r="F98" s="291"/>
      <c r="G98" s="277"/>
      <c r="H98" s="295"/>
      <c r="J98" s="260"/>
      <c r="K98" s="261"/>
      <c r="L98" s="263"/>
      <c r="M98" s="12"/>
      <c r="N98" s="197"/>
      <c r="O98" s="198"/>
      <c r="P98" s="198"/>
      <c r="Q98" s="199"/>
      <c r="R98" s="199"/>
    </row>
    <row r="99" spans="1:18" ht="12.75" customHeight="1">
      <c r="A99" s="285">
        <v>47</v>
      </c>
      <c r="B99" s="301"/>
      <c r="C99" s="295" t="s">
        <v>145</v>
      </c>
      <c r="D99" s="277" t="s">
        <v>146</v>
      </c>
      <c r="E99" s="267" t="s">
        <v>142</v>
      </c>
      <c r="F99" s="291" t="s">
        <v>147</v>
      </c>
      <c r="G99" s="277"/>
      <c r="H99" s="295" t="s">
        <v>148</v>
      </c>
      <c r="J99" s="260">
        <v>1</v>
      </c>
      <c r="K99" s="261" t="str">
        <f>_xlfn.IFERROR(RIGHT(D99,LEN(D99)-FIND("*",SUBSTITUTE(D99," ","*",LEN(D99)-LEN(SUBSTITUTE(D99," ",""))))),D99)</f>
        <v>мс</v>
      </c>
      <c r="L99" s="262" t="str">
        <f>_xlfn.IFERROR(LEFT(F99,FIND(",",F99)-1),F99)</f>
        <v>Краснодарский край Армавир</v>
      </c>
      <c r="M99" s="12"/>
      <c r="N99" s="197"/>
      <c r="O99" s="198"/>
      <c r="P99" s="198"/>
      <c r="Q99" s="199"/>
      <c r="R99" s="199"/>
    </row>
    <row r="100" spans="1:18" ht="12.75" customHeight="1">
      <c r="A100" s="286"/>
      <c r="B100" s="301"/>
      <c r="C100" s="295"/>
      <c r="D100" s="277"/>
      <c r="E100" s="269"/>
      <c r="F100" s="291"/>
      <c r="G100" s="277"/>
      <c r="H100" s="295"/>
      <c r="J100" s="260"/>
      <c r="K100" s="261"/>
      <c r="L100" s="263"/>
      <c r="M100" s="12"/>
      <c r="N100" s="197"/>
      <c r="O100" s="198"/>
      <c r="P100" s="198"/>
      <c r="Q100" s="199"/>
      <c r="R100" s="199"/>
    </row>
    <row r="101" spans="1:18" ht="12.75" customHeight="1">
      <c r="A101" s="294">
        <v>48</v>
      </c>
      <c r="B101" s="287"/>
      <c r="C101" s="288" t="s">
        <v>149</v>
      </c>
      <c r="D101" s="289" t="s">
        <v>150</v>
      </c>
      <c r="E101" s="278" t="s">
        <v>142</v>
      </c>
      <c r="F101" s="297" t="s">
        <v>151</v>
      </c>
      <c r="G101" s="300"/>
      <c r="H101" s="288" t="s">
        <v>152</v>
      </c>
      <c r="J101" s="260">
        <v>1</v>
      </c>
      <c r="K101" s="261" t="str">
        <f>_xlfn.IFERROR(RIGHT(D101,LEN(D101)-FIND("*",SUBSTITUTE(D101," ","*",LEN(D101)-LEN(SUBSTITUTE(D101," ",""))))),D101)</f>
        <v>КМС</v>
      </c>
      <c r="L101" s="262" t="str">
        <f>_xlfn.IFERROR(LEFT(F101,FIND(",",F101)-1),F101)</f>
        <v>Краснодарский</v>
      </c>
      <c r="M101" s="12"/>
      <c r="N101" s="197"/>
      <c r="O101" s="198"/>
      <c r="P101" s="198"/>
      <c r="Q101" s="199"/>
      <c r="R101" s="199"/>
    </row>
    <row r="102" spans="1:18" ht="12.75" customHeight="1">
      <c r="A102" s="314"/>
      <c r="B102" s="287"/>
      <c r="C102" s="288"/>
      <c r="D102" s="282"/>
      <c r="E102" s="279"/>
      <c r="F102" s="297"/>
      <c r="G102" s="300"/>
      <c r="H102" s="288"/>
      <c r="J102" s="260"/>
      <c r="K102" s="261"/>
      <c r="L102" s="263"/>
      <c r="M102" s="12"/>
      <c r="N102" s="197"/>
      <c r="O102" s="198"/>
      <c r="P102" s="198"/>
      <c r="Q102" s="199"/>
      <c r="R102" s="199"/>
    </row>
    <row r="103" spans="1:18" ht="12.75" customHeight="1">
      <c r="A103" s="282">
        <v>49</v>
      </c>
      <c r="B103" s="301"/>
      <c r="C103" s="326"/>
      <c r="D103" s="328"/>
      <c r="E103" s="280"/>
      <c r="F103" s="318"/>
      <c r="G103" s="324"/>
      <c r="H103" s="318"/>
      <c r="J103" s="260">
        <v>1</v>
      </c>
      <c r="K103" s="261">
        <f>_xlfn.IFERROR(RIGHT(D103,LEN(D103)-FIND("*",SUBSTITUTE(D103," ","*",LEN(D103)-LEN(SUBSTITUTE(D103," ",""))))),D103)</f>
        <v>0</v>
      </c>
      <c r="L103" s="262">
        <f>_xlfn.IFERROR(LEFT(F103,FIND(",",F103)-1),F103)</f>
        <v>0</v>
      </c>
      <c r="M103" s="12"/>
      <c r="N103" s="197"/>
      <c r="O103" s="198"/>
      <c r="P103" s="198"/>
      <c r="Q103" s="199"/>
      <c r="R103" s="199"/>
    </row>
    <row r="104" spans="1:13" ht="12.75" customHeight="1">
      <c r="A104" s="282"/>
      <c r="B104" s="301"/>
      <c r="C104" s="327"/>
      <c r="D104" s="329"/>
      <c r="E104" s="280"/>
      <c r="F104" s="319"/>
      <c r="G104" s="325"/>
      <c r="H104" s="319"/>
      <c r="J104" s="260"/>
      <c r="K104" s="261"/>
      <c r="L104" s="263"/>
      <c r="M104" s="12"/>
    </row>
    <row r="105" spans="1:13" ht="12.75" customHeight="1">
      <c r="A105" s="282">
        <v>50</v>
      </c>
      <c r="B105" s="320"/>
      <c r="C105" s="318"/>
      <c r="D105" s="273"/>
      <c r="E105" s="276"/>
      <c r="F105" s="318"/>
      <c r="G105" s="321"/>
      <c r="H105" s="318"/>
      <c r="J105" s="260">
        <v>1</v>
      </c>
      <c r="K105" s="261">
        <f>_xlfn.IFERROR(RIGHT(D105,LEN(D105)-FIND("*",SUBSTITUTE(D105," ","*",LEN(D105)-LEN(SUBSTITUTE(D105," ",""))))),D105)</f>
        <v>0</v>
      </c>
      <c r="L105" s="262">
        <f>_xlfn.IFERROR(LEFT(F105,FIND(",",F105)-1),F105)</f>
        <v>0</v>
      </c>
      <c r="M105" s="12"/>
    </row>
    <row r="106" spans="1:13" ht="12.75" customHeight="1">
      <c r="A106" s="282"/>
      <c r="B106" s="320"/>
      <c r="C106" s="319"/>
      <c r="D106" s="274"/>
      <c r="E106" s="276"/>
      <c r="F106" s="319"/>
      <c r="G106" s="322"/>
      <c r="H106" s="319"/>
      <c r="J106" s="260"/>
      <c r="K106" s="261"/>
      <c r="L106" s="263"/>
      <c r="M106" s="12"/>
    </row>
    <row r="107" spans="1:13" ht="12.75" customHeight="1">
      <c r="A107" s="282">
        <v>51</v>
      </c>
      <c r="B107" s="301"/>
      <c r="C107" s="318"/>
      <c r="D107" s="323"/>
      <c r="E107" s="277"/>
      <c r="F107" s="318"/>
      <c r="G107" s="321"/>
      <c r="H107" s="318"/>
      <c r="J107" s="260">
        <v>1</v>
      </c>
      <c r="K107" s="261">
        <f>_xlfn.IFERROR(RIGHT(D107,LEN(D107)-FIND("*",SUBSTITUTE(D107," ","*",LEN(D107)-LEN(SUBSTITUTE(D107," ",""))))),D107)</f>
        <v>0</v>
      </c>
      <c r="L107" s="262">
        <f>_xlfn.IFERROR(LEFT(F107,FIND(",",F107)-1),F107)</f>
        <v>0</v>
      </c>
      <c r="M107" s="12"/>
    </row>
    <row r="108" spans="1:13" ht="12.75" customHeight="1">
      <c r="A108" s="282"/>
      <c r="B108" s="301"/>
      <c r="C108" s="319"/>
      <c r="D108" s="274"/>
      <c r="E108" s="277"/>
      <c r="F108" s="319"/>
      <c r="G108" s="322"/>
      <c r="H108" s="319"/>
      <c r="J108" s="260"/>
      <c r="K108" s="261"/>
      <c r="L108" s="263"/>
      <c r="M108" s="12"/>
    </row>
    <row r="109" spans="1:13" ht="12.75" customHeight="1">
      <c r="A109" s="282">
        <v>52</v>
      </c>
      <c r="B109" s="320"/>
      <c r="C109" s="330"/>
      <c r="D109" s="332"/>
      <c r="E109" s="277"/>
      <c r="F109" s="330"/>
      <c r="G109" s="334"/>
      <c r="H109" s="330"/>
      <c r="J109" s="260">
        <v>1</v>
      </c>
      <c r="K109" s="261">
        <f>_xlfn.IFERROR(RIGHT(D109,LEN(D109)-FIND("*",SUBSTITUTE(D109," ","*",LEN(D109)-LEN(SUBSTITUTE(D109," ",""))))),D109)</f>
        <v>0</v>
      </c>
      <c r="L109" s="262">
        <f>_xlfn.IFERROR(LEFT(F109,FIND(",",F109)-1),F109)</f>
        <v>0</v>
      </c>
      <c r="M109" s="12"/>
    </row>
    <row r="110" spans="1:13" ht="12.75" customHeight="1">
      <c r="A110" s="282"/>
      <c r="B110" s="320"/>
      <c r="C110" s="331"/>
      <c r="D110" s="333"/>
      <c r="E110" s="277"/>
      <c r="F110" s="331"/>
      <c r="G110" s="335"/>
      <c r="H110" s="331"/>
      <c r="J110" s="260"/>
      <c r="K110" s="261"/>
      <c r="L110" s="263"/>
      <c r="M110" s="12"/>
    </row>
    <row r="111" spans="1:13" ht="12.75" customHeight="1">
      <c r="A111" s="282">
        <v>53</v>
      </c>
      <c r="B111" s="301"/>
      <c r="C111" s="336"/>
      <c r="D111" s="342"/>
      <c r="E111" s="282"/>
      <c r="F111" s="318"/>
      <c r="G111" s="340"/>
      <c r="H111" s="336"/>
      <c r="J111" s="260">
        <v>1</v>
      </c>
      <c r="K111" s="261">
        <f>_xlfn.IFERROR(RIGHT(D111,LEN(D111)-FIND("*",SUBSTITUTE(D111," ","*",LEN(D111)-LEN(SUBSTITUTE(D111," ",""))))),D111)</f>
        <v>0</v>
      </c>
      <c r="L111" s="262">
        <f>_xlfn.IFERROR(LEFT(F111,FIND(",",F111)-1),F111)</f>
        <v>0</v>
      </c>
      <c r="M111" s="12"/>
    </row>
    <row r="112" spans="1:13" ht="12.75" customHeight="1">
      <c r="A112" s="282"/>
      <c r="B112" s="301"/>
      <c r="C112" s="337"/>
      <c r="D112" s="343"/>
      <c r="E112" s="282"/>
      <c r="F112" s="319"/>
      <c r="G112" s="341"/>
      <c r="H112" s="337"/>
      <c r="J112" s="260"/>
      <c r="K112" s="261"/>
      <c r="L112" s="263"/>
      <c r="M112" s="12"/>
    </row>
    <row r="113" spans="1:13" ht="12.75" customHeight="1">
      <c r="A113" s="282">
        <v>54</v>
      </c>
      <c r="B113" s="320"/>
      <c r="C113" s="318"/>
      <c r="D113" s="273"/>
      <c r="E113" s="277"/>
      <c r="F113" s="338"/>
      <c r="G113" s="321"/>
      <c r="H113" s="318"/>
      <c r="J113" s="260">
        <v>1</v>
      </c>
      <c r="K113" s="261">
        <f>_xlfn.IFERROR(RIGHT(D113,LEN(D113)-FIND("*",SUBSTITUTE(D113," ","*",LEN(D113)-LEN(SUBSTITUTE(D113," ",""))))),D113)</f>
        <v>0</v>
      </c>
      <c r="L113" s="262">
        <f>_xlfn.IFERROR(LEFT(F113,FIND(",",F113)-1),F113)</f>
        <v>0</v>
      </c>
      <c r="M113" s="12"/>
    </row>
    <row r="114" spans="1:13" ht="12.75" customHeight="1">
      <c r="A114" s="282"/>
      <c r="B114" s="320"/>
      <c r="C114" s="319"/>
      <c r="D114" s="274"/>
      <c r="E114" s="277"/>
      <c r="F114" s="339"/>
      <c r="G114" s="322"/>
      <c r="H114" s="319"/>
      <c r="J114" s="260"/>
      <c r="K114" s="261"/>
      <c r="L114" s="263"/>
      <c r="M114" s="12"/>
    </row>
    <row r="115" spans="1:13" ht="12.75" customHeight="1">
      <c r="A115" s="282">
        <v>55</v>
      </c>
      <c r="B115" s="301"/>
      <c r="C115" s="318"/>
      <c r="D115" s="273"/>
      <c r="E115" s="276"/>
      <c r="F115" s="336"/>
      <c r="G115" s="321"/>
      <c r="H115" s="318"/>
      <c r="J115" s="260">
        <v>1</v>
      </c>
      <c r="K115" s="261">
        <f>_xlfn.IFERROR(RIGHT(D115,LEN(D115)-FIND("*",SUBSTITUTE(D115," ","*",LEN(D115)-LEN(SUBSTITUTE(D115," ",""))))),D115)</f>
        <v>0</v>
      </c>
      <c r="L115" s="262">
        <f>_xlfn.IFERROR(LEFT(F115,FIND(",",F115)-1),F115)</f>
        <v>0</v>
      </c>
      <c r="M115" s="12"/>
    </row>
    <row r="116" spans="1:13" ht="12.75" customHeight="1">
      <c r="A116" s="282"/>
      <c r="B116" s="301"/>
      <c r="C116" s="319"/>
      <c r="D116" s="274"/>
      <c r="E116" s="276"/>
      <c r="F116" s="337"/>
      <c r="G116" s="322"/>
      <c r="H116" s="319"/>
      <c r="J116" s="260"/>
      <c r="K116" s="261"/>
      <c r="L116" s="263"/>
      <c r="M116" s="12"/>
    </row>
    <row r="117" spans="1:13" ht="12.75" customHeight="1">
      <c r="A117" s="282">
        <v>56</v>
      </c>
      <c r="B117" s="320"/>
      <c r="C117" s="318"/>
      <c r="D117" s="323"/>
      <c r="E117" s="277"/>
      <c r="F117" s="318"/>
      <c r="G117" s="321"/>
      <c r="H117" s="318"/>
      <c r="J117" s="260">
        <v>1</v>
      </c>
      <c r="K117" s="261">
        <f>_xlfn.IFERROR(RIGHT(D117,LEN(D117)-FIND("*",SUBSTITUTE(D117," ","*",LEN(D117)-LEN(SUBSTITUTE(D117," ",""))))),D117)</f>
        <v>0</v>
      </c>
      <c r="L117" s="262">
        <f>_xlfn.IFERROR(LEFT(F117,FIND(",",F117)-1),F117)</f>
        <v>0</v>
      </c>
      <c r="M117" s="12"/>
    </row>
    <row r="118" spans="1:13" ht="12.75" customHeight="1">
      <c r="A118" s="282"/>
      <c r="B118" s="320"/>
      <c r="C118" s="319"/>
      <c r="D118" s="274"/>
      <c r="E118" s="277"/>
      <c r="F118" s="344"/>
      <c r="G118" s="322"/>
      <c r="H118" s="344"/>
      <c r="J118" s="260"/>
      <c r="K118" s="261"/>
      <c r="L118" s="263"/>
      <c r="M118" s="12"/>
    </row>
    <row r="119" spans="1:13" ht="12.75" customHeight="1">
      <c r="A119" s="282">
        <v>57</v>
      </c>
      <c r="B119" s="301"/>
      <c r="C119" s="318"/>
      <c r="D119" s="273"/>
      <c r="E119" s="276"/>
      <c r="F119" s="318"/>
      <c r="G119" s="321"/>
      <c r="H119" s="318"/>
      <c r="J119" s="260">
        <v>1</v>
      </c>
      <c r="K119" s="261">
        <f>_xlfn.IFERROR(RIGHT(D119,LEN(D119)-FIND("*",SUBSTITUTE(D119," ","*",LEN(D119)-LEN(SUBSTITUTE(D119," ",""))))),D119)</f>
        <v>0</v>
      </c>
      <c r="L119" s="262">
        <f>_xlfn.IFERROR(LEFT(F119,FIND(",",F119)-1),F119)</f>
        <v>0</v>
      </c>
      <c r="M119" s="12"/>
    </row>
    <row r="120" spans="1:13" ht="12.75" customHeight="1">
      <c r="A120" s="282"/>
      <c r="B120" s="301"/>
      <c r="C120" s="319"/>
      <c r="D120" s="274"/>
      <c r="E120" s="276"/>
      <c r="F120" s="319"/>
      <c r="G120" s="322"/>
      <c r="H120" s="319"/>
      <c r="J120" s="260"/>
      <c r="K120" s="261"/>
      <c r="L120" s="263"/>
      <c r="M120" s="12"/>
    </row>
    <row r="121" spans="1:13" ht="12.75" customHeight="1">
      <c r="A121" s="282">
        <v>58</v>
      </c>
      <c r="B121" s="320"/>
      <c r="C121" s="318"/>
      <c r="D121" s="273"/>
      <c r="E121" s="276"/>
      <c r="F121" s="318"/>
      <c r="G121" s="321"/>
      <c r="H121" s="318"/>
      <c r="J121" s="260">
        <v>1</v>
      </c>
      <c r="K121" s="261">
        <f>_xlfn.IFERROR(RIGHT(D121,LEN(D121)-FIND("*",SUBSTITUTE(D121," ","*",LEN(D121)-LEN(SUBSTITUTE(D121," ",""))))),D121)</f>
        <v>0</v>
      </c>
      <c r="L121" s="262">
        <f>_xlfn.IFERROR(LEFT(F121,FIND(",",F121)-1),F121)</f>
        <v>0</v>
      </c>
      <c r="M121" s="12"/>
    </row>
    <row r="122" spans="1:13" ht="12.75" customHeight="1">
      <c r="A122" s="282"/>
      <c r="B122" s="320"/>
      <c r="C122" s="319"/>
      <c r="D122" s="274"/>
      <c r="E122" s="276"/>
      <c r="F122" s="319"/>
      <c r="G122" s="322"/>
      <c r="H122" s="319"/>
      <c r="J122" s="260"/>
      <c r="K122" s="261"/>
      <c r="L122" s="263"/>
      <c r="M122" s="12"/>
    </row>
    <row r="123" spans="1:13" ht="12.75" customHeight="1">
      <c r="A123" s="282">
        <v>59</v>
      </c>
      <c r="B123" s="301"/>
      <c r="C123" s="318"/>
      <c r="D123" s="273"/>
      <c r="E123" s="276"/>
      <c r="F123" s="318"/>
      <c r="G123" s="321"/>
      <c r="H123" s="318"/>
      <c r="J123" s="260">
        <v>1</v>
      </c>
      <c r="K123" s="261">
        <f>_xlfn.IFERROR(RIGHT(D123,LEN(D123)-FIND("*",SUBSTITUTE(D123," ","*",LEN(D123)-LEN(SUBSTITUTE(D123," ",""))))),D123)</f>
        <v>0</v>
      </c>
      <c r="L123" s="262">
        <f>_xlfn.IFERROR(LEFT(F123,FIND(",",F123)-1),F123)</f>
        <v>0</v>
      </c>
      <c r="M123" s="12"/>
    </row>
    <row r="124" spans="1:13" ht="12.75" customHeight="1">
      <c r="A124" s="282"/>
      <c r="B124" s="301"/>
      <c r="C124" s="319"/>
      <c r="D124" s="274"/>
      <c r="E124" s="276"/>
      <c r="F124" s="319"/>
      <c r="G124" s="322"/>
      <c r="H124" s="319"/>
      <c r="J124" s="260"/>
      <c r="K124" s="261"/>
      <c r="L124" s="263"/>
      <c r="M124" s="12"/>
    </row>
    <row r="125" spans="1:13" ht="12.75" customHeight="1">
      <c r="A125" s="282">
        <v>60</v>
      </c>
      <c r="B125" s="320"/>
      <c r="C125" s="336"/>
      <c r="D125" s="342"/>
      <c r="E125" s="277"/>
      <c r="F125" s="330"/>
      <c r="G125" s="332"/>
      <c r="H125" s="330"/>
      <c r="J125" s="260">
        <v>1</v>
      </c>
      <c r="K125" s="261">
        <f>_xlfn.IFERROR(RIGHT(D125,LEN(D125)-FIND("*",SUBSTITUTE(D125," ","*",LEN(D125)-LEN(SUBSTITUTE(D125," ",""))))),D125)</f>
        <v>0</v>
      </c>
      <c r="L125" s="262">
        <f>_xlfn.IFERROR(LEFT(F125,FIND(",",F125)-1),F125)</f>
        <v>0</v>
      </c>
      <c r="M125" s="12"/>
    </row>
    <row r="126" spans="1:13" ht="12.75" customHeight="1">
      <c r="A126" s="282"/>
      <c r="B126" s="320"/>
      <c r="C126" s="337"/>
      <c r="D126" s="343"/>
      <c r="E126" s="277"/>
      <c r="F126" s="331"/>
      <c r="G126" s="333"/>
      <c r="H126" s="331"/>
      <c r="J126" s="260"/>
      <c r="K126" s="261"/>
      <c r="L126" s="263"/>
      <c r="M126" s="12"/>
    </row>
    <row r="127" spans="1:13" ht="12.75" customHeight="1">
      <c r="A127" s="282">
        <v>61</v>
      </c>
      <c r="B127" s="301"/>
      <c r="C127" s="326"/>
      <c r="D127" s="328"/>
      <c r="E127" s="281"/>
      <c r="F127" s="318"/>
      <c r="G127" s="345"/>
      <c r="H127" s="318"/>
      <c r="J127" s="260">
        <v>1</v>
      </c>
      <c r="K127" s="261">
        <f>_xlfn.IFERROR(RIGHT(D127,LEN(D127)-FIND("*",SUBSTITUTE(D127," ","*",LEN(D127)-LEN(SUBSTITUTE(D127," ",""))))),D127)</f>
        <v>0</v>
      </c>
      <c r="L127" s="262">
        <f>_xlfn.IFERROR(LEFT(F127,FIND(",",F127)-1),F127)</f>
        <v>0</v>
      </c>
      <c r="M127" s="12"/>
    </row>
    <row r="128" spans="1:13" ht="12.75" customHeight="1">
      <c r="A128" s="282"/>
      <c r="B128" s="301"/>
      <c r="C128" s="327"/>
      <c r="D128" s="329"/>
      <c r="E128" s="281"/>
      <c r="F128" s="319"/>
      <c r="G128" s="346"/>
      <c r="H128" s="319"/>
      <c r="J128" s="260"/>
      <c r="K128" s="261"/>
      <c r="L128" s="263"/>
      <c r="M128" s="12"/>
    </row>
    <row r="129" spans="1:13" ht="12.75" customHeight="1">
      <c r="A129" s="282">
        <v>62</v>
      </c>
      <c r="B129" s="320"/>
      <c r="C129" s="318"/>
      <c r="D129" s="273"/>
      <c r="E129" s="282"/>
      <c r="F129" s="330"/>
      <c r="G129" s="321"/>
      <c r="H129" s="318"/>
      <c r="J129" s="260">
        <v>1</v>
      </c>
      <c r="K129" s="261">
        <f>_xlfn.IFERROR(RIGHT(D129,LEN(D129)-FIND("*",SUBSTITUTE(D129," ","*",LEN(D129)-LEN(SUBSTITUTE(D129," ",""))))),D129)</f>
        <v>0</v>
      </c>
      <c r="L129" s="262">
        <f>_xlfn.IFERROR(LEFT(F129,FIND(",",F129)-1),F129)</f>
        <v>0</v>
      </c>
      <c r="M129" s="12"/>
    </row>
    <row r="130" spans="1:13" ht="12.75" customHeight="1">
      <c r="A130" s="282"/>
      <c r="B130" s="320"/>
      <c r="C130" s="319"/>
      <c r="D130" s="274"/>
      <c r="E130" s="282"/>
      <c r="F130" s="331"/>
      <c r="G130" s="322"/>
      <c r="H130" s="319"/>
      <c r="J130" s="260"/>
      <c r="K130" s="261"/>
      <c r="L130" s="263"/>
      <c r="M130" s="12"/>
    </row>
    <row r="131" spans="1:13" ht="12.75" customHeight="1">
      <c r="A131" s="282">
        <v>63</v>
      </c>
      <c r="B131" s="301"/>
      <c r="C131" s="318"/>
      <c r="D131" s="273"/>
      <c r="E131" s="277"/>
      <c r="F131" s="330"/>
      <c r="G131" s="321"/>
      <c r="H131" s="318"/>
      <c r="J131" s="260">
        <v>1</v>
      </c>
      <c r="K131" s="261">
        <f>_xlfn.IFERROR(RIGHT(D131,LEN(D131)-FIND("*",SUBSTITUTE(D131," ","*",LEN(D131)-LEN(SUBSTITUTE(D131," ",""))))),D131)</f>
        <v>0</v>
      </c>
      <c r="L131" s="262">
        <f>_xlfn.IFERROR(LEFT(F131,FIND(",",F131)-1),F131)</f>
        <v>0</v>
      </c>
      <c r="M131" s="12"/>
    </row>
    <row r="132" spans="1:13" ht="12.75">
      <c r="A132" s="282"/>
      <c r="B132" s="301"/>
      <c r="C132" s="319"/>
      <c r="D132" s="274"/>
      <c r="E132" s="277"/>
      <c r="F132" s="331"/>
      <c r="G132" s="322"/>
      <c r="H132" s="319"/>
      <c r="J132" s="260"/>
      <c r="K132" s="261"/>
      <c r="L132" s="263"/>
      <c r="M132" s="12"/>
    </row>
    <row r="133" spans="1:13" ht="12.75" customHeight="1">
      <c r="A133" s="282">
        <v>64</v>
      </c>
      <c r="B133" s="320"/>
      <c r="C133" s="318"/>
      <c r="D133" s="323"/>
      <c r="E133" s="277"/>
      <c r="F133" s="330"/>
      <c r="G133" s="321"/>
      <c r="H133" s="318"/>
      <c r="J133" s="260">
        <v>1</v>
      </c>
      <c r="K133" s="261">
        <f>_xlfn.IFERROR(RIGHT(D133,LEN(D133)-FIND("*",SUBSTITUTE(D133," ","*",LEN(D133)-LEN(SUBSTITUTE(D133," ",""))))),D133)</f>
        <v>0</v>
      </c>
      <c r="L133" s="262">
        <f>_xlfn.IFERROR(LEFT(F133,FIND(",",F133)-1),F133)</f>
        <v>0</v>
      </c>
      <c r="M133" s="12"/>
    </row>
    <row r="134" spans="1:13" ht="12.75">
      <c r="A134" s="282"/>
      <c r="B134" s="320"/>
      <c r="C134" s="319"/>
      <c r="D134" s="274"/>
      <c r="E134" s="277"/>
      <c r="F134" s="331"/>
      <c r="G134" s="322"/>
      <c r="H134" s="319"/>
      <c r="J134" s="260"/>
      <c r="K134" s="261"/>
      <c r="L134" s="263"/>
      <c r="M134" s="12"/>
    </row>
    <row r="135" spans="1:13" ht="12.75">
      <c r="A135" s="58"/>
      <c r="B135" s="24"/>
      <c r="C135" s="352"/>
      <c r="D135" s="353"/>
      <c r="E135" s="355"/>
      <c r="F135" s="355"/>
      <c r="G135" s="356"/>
      <c r="H135" s="352"/>
      <c r="J135" s="12"/>
      <c r="K135" s="12"/>
      <c r="L135" s="12"/>
      <c r="M135" s="12"/>
    </row>
    <row r="136" spans="1:13" ht="12.75">
      <c r="A136" s="58"/>
      <c r="B136" s="24"/>
      <c r="C136" s="352"/>
      <c r="D136" s="354"/>
      <c r="E136" s="355"/>
      <c r="F136" s="355"/>
      <c r="G136" s="356"/>
      <c r="H136" s="354"/>
      <c r="J136" s="12"/>
      <c r="K136" s="12"/>
      <c r="L136" s="12"/>
      <c r="M136" s="12"/>
    </row>
    <row r="137" spans="1:13" ht="12.75">
      <c r="A137" s="50" t="s">
        <v>58</v>
      </c>
      <c r="C137" s="352"/>
      <c r="D137" s="356"/>
      <c r="E137" s="355"/>
      <c r="F137" s="355"/>
      <c r="G137" s="356"/>
      <c r="H137" s="352"/>
      <c r="J137" s="12"/>
      <c r="K137" s="12"/>
      <c r="L137" s="12"/>
      <c r="M137" s="12"/>
    </row>
    <row r="138" spans="3:13" ht="12.75">
      <c r="C138" s="352"/>
      <c r="D138" s="357"/>
      <c r="E138" s="355"/>
      <c r="F138" s="355"/>
      <c r="G138" s="356"/>
      <c r="H138" s="358"/>
      <c r="J138" s="12"/>
      <c r="K138" s="12"/>
      <c r="L138" s="12"/>
      <c r="M138" s="12"/>
    </row>
    <row r="139" spans="1:13" ht="12.75">
      <c r="A139" s="50" t="s">
        <v>59</v>
      </c>
      <c r="J139" s="12"/>
      <c r="K139" s="12"/>
      <c r="L139" s="12"/>
      <c r="M139" s="12"/>
    </row>
    <row r="141" ht="12.75">
      <c r="A141" s="50" t="s">
        <v>60</v>
      </c>
    </row>
    <row r="145" ht="12.75">
      <c r="A145" s="50" t="s">
        <v>61</v>
      </c>
    </row>
  </sheetData>
  <sheetProtection/>
  <mergeCells count="729">
    <mergeCell ref="J131:J132"/>
    <mergeCell ref="K131:K132"/>
    <mergeCell ref="L131:L132"/>
    <mergeCell ref="J133:J134"/>
    <mergeCell ref="K133:K134"/>
    <mergeCell ref="L133:L134"/>
    <mergeCell ref="J127:J128"/>
    <mergeCell ref="K127:K128"/>
    <mergeCell ref="L127:L128"/>
    <mergeCell ref="J129:J130"/>
    <mergeCell ref="K129:K130"/>
    <mergeCell ref="L129:L130"/>
    <mergeCell ref="J123:J124"/>
    <mergeCell ref="K123:K124"/>
    <mergeCell ref="L123:L124"/>
    <mergeCell ref="J125:J126"/>
    <mergeCell ref="K125:K126"/>
    <mergeCell ref="L125:L126"/>
    <mergeCell ref="J119:J120"/>
    <mergeCell ref="K119:K120"/>
    <mergeCell ref="L119:L120"/>
    <mergeCell ref="J121:J122"/>
    <mergeCell ref="K121:K122"/>
    <mergeCell ref="L121:L122"/>
    <mergeCell ref="J115:J116"/>
    <mergeCell ref="K115:K116"/>
    <mergeCell ref="L115:L116"/>
    <mergeCell ref="J117:J118"/>
    <mergeCell ref="K117:K118"/>
    <mergeCell ref="L117:L118"/>
    <mergeCell ref="J111:J112"/>
    <mergeCell ref="K111:K112"/>
    <mergeCell ref="L111:L112"/>
    <mergeCell ref="J113:J114"/>
    <mergeCell ref="K113:K114"/>
    <mergeCell ref="L113:L114"/>
    <mergeCell ref="J107:J108"/>
    <mergeCell ref="K107:K108"/>
    <mergeCell ref="L107:L108"/>
    <mergeCell ref="J109:J110"/>
    <mergeCell ref="K109:K110"/>
    <mergeCell ref="L109:L110"/>
    <mergeCell ref="J103:J104"/>
    <mergeCell ref="K103:K104"/>
    <mergeCell ref="L103:L104"/>
    <mergeCell ref="J105:J106"/>
    <mergeCell ref="K105:K106"/>
    <mergeCell ref="L105:L106"/>
    <mergeCell ref="J99:J100"/>
    <mergeCell ref="K99:K100"/>
    <mergeCell ref="L99:L100"/>
    <mergeCell ref="J101:J102"/>
    <mergeCell ref="K101:K102"/>
    <mergeCell ref="L101:L102"/>
    <mergeCell ref="J95:J96"/>
    <mergeCell ref="K95:K96"/>
    <mergeCell ref="L95:L96"/>
    <mergeCell ref="J97:J98"/>
    <mergeCell ref="K97:K98"/>
    <mergeCell ref="L97:L98"/>
    <mergeCell ref="J91:J92"/>
    <mergeCell ref="K91:K92"/>
    <mergeCell ref="L91:L92"/>
    <mergeCell ref="J93:J94"/>
    <mergeCell ref="K93:K94"/>
    <mergeCell ref="L93:L94"/>
    <mergeCell ref="J87:J88"/>
    <mergeCell ref="K87:K88"/>
    <mergeCell ref="L87:L88"/>
    <mergeCell ref="J89:J90"/>
    <mergeCell ref="K89:K90"/>
    <mergeCell ref="L89:L90"/>
    <mergeCell ref="J83:J84"/>
    <mergeCell ref="K83:K84"/>
    <mergeCell ref="L83:L84"/>
    <mergeCell ref="J85:J86"/>
    <mergeCell ref="K85:K86"/>
    <mergeCell ref="L85:L86"/>
    <mergeCell ref="J79:J80"/>
    <mergeCell ref="K79:K80"/>
    <mergeCell ref="L79:L80"/>
    <mergeCell ref="J81:J82"/>
    <mergeCell ref="K81:K82"/>
    <mergeCell ref="L81:L82"/>
    <mergeCell ref="J75:J76"/>
    <mergeCell ref="K75:K76"/>
    <mergeCell ref="L75:L76"/>
    <mergeCell ref="J77:J78"/>
    <mergeCell ref="K77:K78"/>
    <mergeCell ref="L77:L78"/>
    <mergeCell ref="J71:J72"/>
    <mergeCell ref="K71:K72"/>
    <mergeCell ref="L71:L72"/>
    <mergeCell ref="J73:J74"/>
    <mergeCell ref="K73:K74"/>
    <mergeCell ref="L73:L74"/>
    <mergeCell ref="C137:C138"/>
    <mergeCell ref="D137:D138"/>
    <mergeCell ref="E137:E138"/>
    <mergeCell ref="F137:F138"/>
    <mergeCell ref="G137:G138"/>
    <mergeCell ref="H137:H138"/>
    <mergeCell ref="C135:C136"/>
    <mergeCell ref="D135:D136"/>
    <mergeCell ref="E135:E136"/>
    <mergeCell ref="F135:F136"/>
    <mergeCell ref="G135:G136"/>
    <mergeCell ref="H135:H136"/>
    <mergeCell ref="A1:H1"/>
    <mergeCell ref="B2:C2"/>
    <mergeCell ref="D2:H2"/>
    <mergeCell ref="F131:F132"/>
    <mergeCell ref="G131:G132"/>
    <mergeCell ref="H131:H132"/>
    <mergeCell ref="C129:C130"/>
    <mergeCell ref="D129:D130"/>
    <mergeCell ref="F129:F130"/>
    <mergeCell ref="G129:G130"/>
    <mergeCell ref="A133:A134"/>
    <mergeCell ref="B133:B134"/>
    <mergeCell ref="C133:C134"/>
    <mergeCell ref="D133:D134"/>
    <mergeCell ref="F133:F134"/>
    <mergeCell ref="G133:G134"/>
    <mergeCell ref="E133:E134"/>
    <mergeCell ref="H133:H134"/>
    <mergeCell ref="A131:A132"/>
    <mergeCell ref="B131:B132"/>
    <mergeCell ref="C131:C132"/>
    <mergeCell ref="D131:D132"/>
    <mergeCell ref="F127:F128"/>
    <mergeCell ref="G127:G128"/>
    <mergeCell ref="H127:H128"/>
    <mergeCell ref="A129:A130"/>
    <mergeCell ref="B129:B130"/>
    <mergeCell ref="H129:H130"/>
    <mergeCell ref="A127:A128"/>
    <mergeCell ref="B127:B128"/>
    <mergeCell ref="C127:C128"/>
    <mergeCell ref="D127:D128"/>
    <mergeCell ref="H123:H124"/>
    <mergeCell ref="A125:A126"/>
    <mergeCell ref="B125:B126"/>
    <mergeCell ref="C125:C126"/>
    <mergeCell ref="D125:D126"/>
    <mergeCell ref="F125:F126"/>
    <mergeCell ref="G125:G126"/>
    <mergeCell ref="H125:H126"/>
    <mergeCell ref="A123:A124"/>
    <mergeCell ref="B123:B124"/>
    <mergeCell ref="C123:C124"/>
    <mergeCell ref="D123:D124"/>
    <mergeCell ref="F119:F120"/>
    <mergeCell ref="G119:G120"/>
    <mergeCell ref="C119:C120"/>
    <mergeCell ref="D119:D120"/>
    <mergeCell ref="F123:F124"/>
    <mergeCell ref="G123:G124"/>
    <mergeCell ref="E121:E122"/>
    <mergeCell ref="H119:H120"/>
    <mergeCell ref="A121:A122"/>
    <mergeCell ref="B121:B122"/>
    <mergeCell ref="C121:C122"/>
    <mergeCell ref="D121:D122"/>
    <mergeCell ref="F121:F122"/>
    <mergeCell ref="G121:G122"/>
    <mergeCell ref="H121:H122"/>
    <mergeCell ref="A119:A120"/>
    <mergeCell ref="B119:B120"/>
    <mergeCell ref="F115:F116"/>
    <mergeCell ref="G115:G116"/>
    <mergeCell ref="H115:H116"/>
    <mergeCell ref="A117:A118"/>
    <mergeCell ref="B117:B118"/>
    <mergeCell ref="C117:C118"/>
    <mergeCell ref="D117:D118"/>
    <mergeCell ref="F117:F118"/>
    <mergeCell ref="G117:G118"/>
    <mergeCell ref="H117:H118"/>
    <mergeCell ref="A115:A116"/>
    <mergeCell ref="B115:B116"/>
    <mergeCell ref="C115:C116"/>
    <mergeCell ref="D115:D116"/>
    <mergeCell ref="F111:F112"/>
    <mergeCell ref="G111:G112"/>
    <mergeCell ref="C111:C112"/>
    <mergeCell ref="D111:D112"/>
    <mergeCell ref="E111:E112"/>
    <mergeCell ref="E113:E114"/>
    <mergeCell ref="H111:H112"/>
    <mergeCell ref="A113:A114"/>
    <mergeCell ref="B113:B114"/>
    <mergeCell ref="C113:C114"/>
    <mergeCell ref="D113:D114"/>
    <mergeCell ref="F113:F114"/>
    <mergeCell ref="G113:G114"/>
    <mergeCell ref="H113:H114"/>
    <mergeCell ref="A111:A112"/>
    <mergeCell ref="B111:B112"/>
    <mergeCell ref="H107:H108"/>
    <mergeCell ref="A109:A110"/>
    <mergeCell ref="B109:B110"/>
    <mergeCell ref="C109:C110"/>
    <mergeCell ref="D109:D110"/>
    <mergeCell ref="F109:F110"/>
    <mergeCell ref="G109:G110"/>
    <mergeCell ref="H109:H110"/>
    <mergeCell ref="A107:A108"/>
    <mergeCell ref="B107:B108"/>
    <mergeCell ref="C107:C108"/>
    <mergeCell ref="D107:D108"/>
    <mergeCell ref="F103:F104"/>
    <mergeCell ref="G103:G104"/>
    <mergeCell ref="C103:C104"/>
    <mergeCell ref="D103:D104"/>
    <mergeCell ref="F107:F108"/>
    <mergeCell ref="G107:G108"/>
    <mergeCell ref="E107:E108"/>
    <mergeCell ref="E105:E106"/>
    <mergeCell ref="H103:H104"/>
    <mergeCell ref="A105:A106"/>
    <mergeCell ref="B105:B106"/>
    <mergeCell ref="C105:C106"/>
    <mergeCell ref="D105:D106"/>
    <mergeCell ref="F105:F106"/>
    <mergeCell ref="G105:G106"/>
    <mergeCell ref="H105:H106"/>
    <mergeCell ref="A103:A104"/>
    <mergeCell ref="B103:B104"/>
    <mergeCell ref="F99:F100"/>
    <mergeCell ref="G99:G100"/>
    <mergeCell ref="H99:H100"/>
    <mergeCell ref="A101:A102"/>
    <mergeCell ref="B101:B102"/>
    <mergeCell ref="C101:C102"/>
    <mergeCell ref="D101:D102"/>
    <mergeCell ref="F101:F102"/>
    <mergeCell ref="G101:G102"/>
    <mergeCell ref="H101:H102"/>
    <mergeCell ref="A99:A100"/>
    <mergeCell ref="B99:B100"/>
    <mergeCell ref="C99:C100"/>
    <mergeCell ref="D99:D100"/>
    <mergeCell ref="F95:F96"/>
    <mergeCell ref="G95:G96"/>
    <mergeCell ref="C95:C96"/>
    <mergeCell ref="D95:D96"/>
    <mergeCell ref="E95:E96"/>
    <mergeCell ref="E97:E98"/>
    <mergeCell ref="H95:H96"/>
    <mergeCell ref="A97:A98"/>
    <mergeCell ref="B97:B98"/>
    <mergeCell ref="C97:C98"/>
    <mergeCell ref="D97:D98"/>
    <mergeCell ref="F97:F98"/>
    <mergeCell ref="G97:G98"/>
    <mergeCell ref="H97:H98"/>
    <mergeCell ref="A95:A96"/>
    <mergeCell ref="B95:B96"/>
    <mergeCell ref="H91:H92"/>
    <mergeCell ref="A93:A94"/>
    <mergeCell ref="B93:B94"/>
    <mergeCell ref="C93:C94"/>
    <mergeCell ref="D93:D94"/>
    <mergeCell ref="F93:F94"/>
    <mergeCell ref="G93:G94"/>
    <mergeCell ref="H93:H94"/>
    <mergeCell ref="A91:A92"/>
    <mergeCell ref="B91:B92"/>
    <mergeCell ref="C91:C92"/>
    <mergeCell ref="D91:D92"/>
    <mergeCell ref="F87:F88"/>
    <mergeCell ref="G87:G88"/>
    <mergeCell ref="C87:C88"/>
    <mergeCell ref="D87:D88"/>
    <mergeCell ref="F91:F92"/>
    <mergeCell ref="G91:G92"/>
    <mergeCell ref="E87:E88"/>
    <mergeCell ref="E89:E90"/>
    <mergeCell ref="H87:H88"/>
    <mergeCell ref="A89:A90"/>
    <mergeCell ref="B89:B90"/>
    <mergeCell ref="C89:C90"/>
    <mergeCell ref="D89:D90"/>
    <mergeCell ref="F89:F90"/>
    <mergeCell ref="G89:G90"/>
    <mergeCell ref="H89:H90"/>
    <mergeCell ref="A87:A88"/>
    <mergeCell ref="B87:B88"/>
    <mergeCell ref="H83:H84"/>
    <mergeCell ref="A85:A86"/>
    <mergeCell ref="B85:B86"/>
    <mergeCell ref="C85:C86"/>
    <mergeCell ref="D85:D86"/>
    <mergeCell ref="F85:F86"/>
    <mergeCell ref="G85:G86"/>
    <mergeCell ref="H85:H86"/>
    <mergeCell ref="E85:E86"/>
    <mergeCell ref="G79:G80"/>
    <mergeCell ref="C79:C80"/>
    <mergeCell ref="D79:D80"/>
    <mergeCell ref="E79:E80"/>
    <mergeCell ref="E81:E82"/>
    <mergeCell ref="F83:F84"/>
    <mergeCell ref="G83:G84"/>
    <mergeCell ref="B79:B80"/>
    <mergeCell ref="A83:A84"/>
    <mergeCell ref="B83:B84"/>
    <mergeCell ref="C83:C84"/>
    <mergeCell ref="D83:D84"/>
    <mergeCell ref="F79:F80"/>
    <mergeCell ref="E83:E84"/>
    <mergeCell ref="H77:H78"/>
    <mergeCell ref="H79:H80"/>
    <mergeCell ref="A81:A82"/>
    <mergeCell ref="B81:B82"/>
    <mergeCell ref="C81:C82"/>
    <mergeCell ref="D81:D82"/>
    <mergeCell ref="F81:F82"/>
    <mergeCell ref="G81:G82"/>
    <mergeCell ref="H81:H82"/>
    <mergeCell ref="A79:A80"/>
    <mergeCell ref="A77:A78"/>
    <mergeCell ref="B77:B78"/>
    <mergeCell ref="C77:C78"/>
    <mergeCell ref="D77:D78"/>
    <mergeCell ref="F77:F78"/>
    <mergeCell ref="G77:G78"/>
    <mergeCell ref="E77:E78"/>
    <mergeCell ref="G71:G72"/>
    <mergeCell ref="C71:C72"/>
    <mergeCell ref="D71:D72"/>
    <mergeCell ref="F75:F76"/>
    <mergeCell ref="G75:G76"/>
    <mergeCell ref="H75:H76"/>
    <mergeCell ref="H71:H72"/>
    <mergeCell ref="B71:B72"/>
    <mergeCell ref="A75:A76"/>
    <mergeCell ref="B75:B76"/>
    <mergeCell ref="C75:C76"/>
    <mergeCell ref="D75:D76"/>
    <mergeCell ref="F71:F72"/>
    <mergeCell ref="E75:E76"/>
    <mergeCell ref="H9:H10"/>
    <mergeCell ref="A73:A74"/>
    <mergeCell ref="B73:B74"/>
    <mergeCell ref="C73:C74"/>
    <mergeCell ref="D73:D74"/>
    <mergeCell ref="F73:F74"/>
    <mergeCell ref="G73:G74"/>
    <mergeCell ref="H73:H74"/>
    <mergeCell ref="A71:A72"/>
    <mergeCell ref="G19:G20"/>
    <mergeCell ref="B5:B6"/>
    <mergeCell ref="C5:C6"/>
    <mergeCell ref="D5:D6"/>
    <mergeCell ref="G29:G30"/>
    <mergeCell ref="G5:G6"/>
    <mergeCell ref="G7:G8"/>
    <mergeCell ref="G9:G10"/>
    <mergeCell ref="G11:G12"/>
    <mergeCell ref="C9:C10"/>
    <mergeCell ref="F17:F18"/>
    <mergeCell ref="F67:F68"/>
    <mergeCell ref="H67:H68"/>
    <mergeCell ref="A69:A70"/>
    <mergeCell ref="B69:B70"/>
    <mergeCell ref="C69:C70"/>
    <mergeCell ref="D69:D70"/>
    <mergeCell ref="F69:F70"/>
    <mergeCell ref="H69:H70"/>
    <mergeCell ref="G67:G68"/>
    <mergeCell ref="G69:G70"/>
    <mergeCell ref="A67:A68"/>
    <mergeCell ref="B67:B68"/>
    <mergeCell ref="C67:C68"/>
    <mergeCell ref="D67:D68"/>
    <mergeCell ref="F63:F64"/>
    <mergeCell ref="H63:H64"/>
    <mergeCell ref="A65:A66"/>
    <mergeCell ref="B65:B66"/>
    <mergeCell ref="C65:C66"/>
    <mergeCell ref="D65:D66"/>
    <mergeCell ref="F65:F66"/>
    <mergeCell ref="H65:H66"/>
    <mergeCell ref="G63:G64"/>
    <mergeCell ref="G65:G66"/>
    <mergeCell ref="A63:A64"/>
    <mergeCell ref="B63:B64"/>
    <mergeCell ref="C63:C64"/>
    <mergeCell ref="D63:D64"/>
    <mergeCell ref="E63:E64"/>
    <mergeCell ref="E65:E66"/>
    <mergeCell ref="F59:F60"/>
    <mergeCell ref="H59:H60"/>
    <mergeCell ref="A61:A62"/>
    <mergeCell ref="B61:B62"/>
    <mergeCell ref="C61:C62"/>
    <mergeCell ref="D61:D62"/>
    <mergeCell ref="F61:F62"/>
    <mergeCell ref="H61:H62"/>
    <mergeCell ref="G59:G60"/>
    <mergeCell ref="G61:G62"/>
    <mergeCell ref="A59:A60"/>
    <mergeCell ref="B59:B60"/>
    <mergeCell ref="C59:C60"/>
    <mergeCell ref="D59:D60"/>
    <mergeCell ref="F55:F56"/>
    <mergeCell ref="H55:H56"/>
    <mergeCell ref="A57:A58"/>
    <mergeCell ref="B57:B58"/>
    <mergeCell ref="C57:C58"/>
    <mergeCell ref="D57:D58"/>
    <mergeCell ref="F57:F58"/>
    <mergeCell ref="H57:H58"/>
    <mergeCell ref="G55:G56"/>
    <mergeCell ref="G57:G58"/>
    <mergeCell ref="A55:A56"/>
    <mergeCell ref="B55:B56"/>
    <mergeCell ref="C55:C56"/>
    <mergeCell ref="D55:D56"/>
    <mergeCell ref="F51:F52"/>
    <mergeCell ref="H51:H52"/>
    <mergeCell ref="A53:A54"/>
    <mergeCell ref="B53:B54"/>
    <mergeCell ref="C53:C54"/>
    <mergeCell ref="D53:D54"/>
    <mergeCell ref="F53:F54"/>
    <mergeCell ref="H53:H54"/>
    <mergeCell ref="G51:G52"/>
    <mergeCell ref="G53:G54"/>
    <mergeCell ref="A51:A52"/>
    <mergeCell ref="B51:B52"/>
    <mergeCell ref="C51:C52"/>
    <mergeCell ref="D51:D52"/>
    <mergeCell ref="F47:F48"/>
    <mergeCell ref="H47:H48"/>
    <mergeCell ref="A49:A50"/>
    <mergeCell ref="B49:B50"/>
    <mergeCell ref="C49:C50"/>
    <mergeCell ref="D49:D50"/>
    <mergeCell ref="F49:F50"/>
    <mergeCell ref="H49:H50"/>
    <mergeCell ref="G47:G48"/>
    <mergeCell ref="G49:G50"/>
    <mergeCell ref="A47:A48"/>
    <mergeCell ref="B47:B48"/>
    <mergeCell ref="C47:C48"/>
    <mergeCell ref="D47:D48"/>
    <mergeCell ref="E49:E50"/>
    <mergeCell ref="F43:F44"/>
    <mergeCell ref="H43:H44"/>
    <mergeCell ref="A45:A46"/>
    <mergeCell ref="B45:B46"/>
    <mergeCell ref="C45:C46"/>
    <mergeCell ref="D45:D46"/>
    <mergeCell ref="F45:F46"/>
    <mergeCell ref="H45:H46"/>
    <mergeCell ref="G43:G44"/>
    <mergeCell ref="G45:G46"/>
    <mergeCell ref="A43:A44"/>
    <mergeCell ref="B43:B44"/>
    <mergeCell ref="C43:C44"/>
    <mergeCell ref="D43:D44"/>
    <mergeCell ref="A35:A36"/>
    <mergeCell ref="A37:A38"/>
    <mergeCell ref="A39:A40"/>
    <mergeCell ref="A41:A42"/>
    <mergeCell ref="B35:B36"/>
    <mergeCell ref="B37:B38"/>
    <mergeCell ref="B39:B40"/>
    <mergeCell ref="B41:B42"/>
    <mergeCell ref="C41:C42"/>
    <mergeCell ref="D41:D42"/>
    <mergeCell ref="F41:F42"/>
    <mergeCell ref="H41:H42"/>
    <mergeCell ref="G41:G42"/>
    <mergeCell ref="E41:E42"/>
    <mergeCell ref="C39:C40"/>
    <mergeCell ref="D39:D40"/>
    <mergeCell ref="F39:F40"/>
    <mergeCell ref="H39:H40"/>
    <mergeCell ref="G39:G40"/>
    <mergeCell ref="E39:E40"/>
    <mergeCell ref="C37:C38"/>
    <mergeCell ref="D37:D38"/>
    <mergeCell ref="F37:F38"/>
    <mergeCell ref="H37:H38"/>
    <mergeCell ref="G37:G38"/>
    <mergeCell ref="E37:E38"/>
    <mergeCell ref="C35:C36"/>
    <mergeCell ref="D35:D36"/>
    <mergeCell ref="F35:F36"/>
    <mergeCell ref="H35:H36"/>
    <mergeCell ref="G35:G36"/>
    <mergeCell ref="H5:H6"/>
    <mergeCell ref="D9:D10"/>
    <mergeCell ref="H7:H8"/>
    <mergeCell ref="F11:F12"/>
    <mergeCell ref="H11:H12"/>
    <mergeCell ref="A7:A8"/>
    <mergeCell ref="B7:B8"/>
    <mergeCell ref="C7:C8"/>
    <mergeCell ref="D7:D8"/>
    <mergeCell ref="F9:F10"/>
    <mergeCell ref="A9:A10"/>
    <mergeCell ref="B9:B10"/>
    <mergeCell ref="A13:A14"/>
    <mergeCell ref="B13:B14"/>
    <mergeCell ref="C13:C14"/>
    <mergeCell ref="D13:D14"/>
    <mergeCell ref="B11:B12"/>
    <mergeCell ref="C11:C12"/>
    <mergeCell ref="D11:D12"/>
    <mergeCell ref="A11:A12"/>
    <mergeCell ref="H17:H18"/>
    <mergeCell ref="F13:F14"/>
    <mergeCell ref="H13:H14"/>
    <mergeCell ref="F15:F16"/>
    <mergeCell ref="H15:H16"/>
    <mergeCell ref="G13:G14"/>
    <mergeCell ref="G15:G16"/>
    <mergeCell ref="G17:G18"/>
    <mergeCell ref="A15:A16"/>
    <mergeCell ref="B15:B16"/>
    <mergeCell ref="C15:C16"/>
    <mergeCell ref="D15:D16"/>
    <mergeCell ref="F19:F20"/>
    <mergeCell ref="H19:H20"/>
    <mergeCell ref="A17:A18"/>
    <mergeCell ref="B17:B18"/>
    <mergeCell ref="A19:A20"/>
    <mergeCell ref="B19:B20"/>
    <mergeCell ref="C19:C20"/>
    <mergeCell ref="D19:D20"/>
    <mergeCell ref="C17:C18"/>
    <mergeCell ref="D17:D18"/>
    <mergeCell ref="A21:A22"/>
    <mergeCell ref="B21:B22"/>
    <mergeCell ref="C21:C22"/>
    <mergeCell ref="D21:D22"/>
    <mergeCell ref="A23:A24"/>
    <mergeCell ref="B23:B24"/>
    <mergeCell ref="C23:C24"/>
    <mergeCell ref="D23:D24"/>
    <mergeCell ref="G23:G24"/>
    <mergeCell ref="G25:G26"/>
    <mergeCell ref="A25:A26"/>
    <mergeCell ref="B25:B26"/>
    <mergeCell ref="F21:F22"/>
    <mergeCell ref="H21:H22"/>
    <mergeCell ref="F23:F24"/>
    <mergeCell ref="H23:H24"/>
    <mergeCell ref="F27:F28"/>
    <mergeCell ref="H27:H28"/>
    <mergeCell ref="F25:F26"/>
    <mergeCell ref="H25:H26"/>
    <mergeCell ref="G27:G28"/>
    <mergeCell ref="G21:G22"/>
    <mergeCell ref="F29:F30"/>
    <mergeCell ref="A27:A28"/>
    <mergeCell ref="B27:B28"/>
    <mergeCell ref="C27:C28"/>
    <mergeCell ref="D27:D28"/>
    <mergeCell ref="C25:C26"/>
    <mergeCell ref="D25:D26"/>
    <mergeCell ref="F33:F34"/>
    <mergeCell ref="H33:H34"/>
    <mergeCell ref="A31:A32"/>
    <mergeCell ref="B31:B32"/>
    <mergeCell ref="C31:C32"/>
    <mergeCell ref="D31:D32"/>
    <mergeCell ref="G33:G34"/>
    <mergeCell ref="A33:A34"/>
    <mergeCell ref="B33:B34"/>
    <mergeCell ref="C33:C34"/>
    <mergeCell ref="H29:H30"/>
    <mergeCell ref="F31:F32"/>
    <mergeCell ref="H31:H32"/>
    <mergeCell ref="G31:G32"/>
    <mergeCell ref="E29:E30"/>
    <mergeCell ref="E9:E10"/>
    <mergeCell ref="E11:E12"/>
    <mergeCell ref="E13:E14"/>
    <mergeCell ref="E15:E16"/>
    <mergeCell ref="E17:E18"/>
    <mergeCell ref="D33:D34"/>
    <mergeCell ref="A29:A30"/>
    <mergeCell ref="B29:B30"/>
    <mergeCell ref="C29:C30"/>
    <mergeCell ref="D29:D30"/>
    <mergeCell ref="E19:E20"/>
    <mergeCell ref="E21:E22"/>
    <mergeCell ref="E23:E24"/>
    <mergeCell ref="E25:E26"/>
    <mergeCell ref="E27:E28"/>
    <mergeCell ref="E31:E32"/>
    <mergeCell ref="E33:E34"/>
    <mergeCell ref="E35:E36"/>
    <mergeCell ref="E43:E44"/>
    <mergeCell ref="E45:E46"/>
    <mergeCell ref="E47:E48"/>
    <mergeCell ref="E51:E52"/>
    <mergeCell ref="E53:E54"/>
    <mergeCell ref="E55:E56"/>
    <mergeCell ref="E57:E58"/>
    <mergeCell ref="E59:E60"/>
    <mergeCell ref="E61:E62"/>
    <mergeCell ref="E67:E68"/>
    <mergeCell ref="E69:E70"/>
    <mergeCell ref="E71:E72"/>
    <mergeCell ref="E73:E74"/>
    <mergeCell ref="E131:E132"/>
    <mergeCell ref="E123:E124"/>
    <mergeCell ref="E125:E126"/>
    <mergeCell ref="E127:E128"/>
    <mergeCell ref="E129:E130"/>
    <mergeCell ref="E109:E110"/>
    <mergeCell ref="K9:K10"/>
    <mergeCell ref="K19:K20"/>
    <mergeCell ref="J35:J36"/>
    <mergeCell ref="K35:K36"/>
    <mergeCell ref="K51:K52"/>
    <mergeCell ref="L9:L10"/>
    <mergeCell ref="J19:J20"/>
    <mergeCell ref="J11:J12"/>
    <mergeCell ref="K11:K12"/>
    <mergeCell ref="L11:L12"/>
    <mergeCell ref="E115:E116"/>
    <mergeCell ref="E117:E118"/>
    <mergeCell ref="E119:E120"/>
    <mergeCell ref="E91:E92"/>
    <mergeCell ref="E93:E94"/>
    <mergeCell ref="E99:E100"/>
    <mergeCell ref="E101:E102"/>
    <mergeCell ref="E103:E104"/>
    <mergeCell ref="K41:K42"/>
    <mergeCell ref="J13:J14"/>
    <mergeCell ref="K13:K14"/>
    <mergeCell ref="L13:L14"/>
    <mergeCell ref="J27:J28"/>
    <mergeCell ref="K27:K28"/>
    <mergeCell ref="L27:L28"/>
    <mergeCell ref="L17:L18"/>
    <mergeCell ref="K21:K22"/>
    <mergeCell ref="L21:L22"/>
    <mergeCell ref="K37:K38"/>
    <mergeCell ref="L37:L38"/>
    <mergeCell ref="L35:L36"/>
    <mergeCell ref="J37:J38"/>
    <mergeCell ref="J39:J40"/>
    <mergeCell ref="K39:K40"/>
    <mergeCell ref="L39:L40"/>
    <mergeCell ref="J9:J10"/>
    <mergeCell ref="J67:J68"/>
    <mergeCell ref="K67:K68"/>
    <mergeCell ref="L67:L68"/>
    <mergeCell ref="L15:L16"/>
    <mergeCell ref="J17:J18"/>
    <mergeCell ref="K17:K18"/>
    <mergeCell ref="K29:K30"/>
    <mergeCell ref="L29:L30"/>
    <mergeCell ref="J43:J44"/>
    <mergeCell ref="J69:J70"/>
    <mergeCell ref="J59:J60"/>
    <mergeCell ref="K59:K60"/>
    <mergeCell ref="L59:L60"/>
    <mergeCell ref="J61:J62"/>
    <mergeCell ref="J51:J52"/>
    <mergeCell ref="J55:J56"/>
    <mergeCell ref="K55:K56"/>
    <mergeCell ref="L55:L56"/>
    <mergeCell ref="J57:J58"/>
    <mergeCell ref="A3:H3"/>
    <mergeCell ref="D4:E4"/>
    <mergeCell ref="O5:Q5"/>
    <mergeCell ref="J7:J8"/>
    <mergeCell ref="K7:K8"/>
    <mergeCell ref="L7:L8"/>
    <mergeCell ref="E5:F6"/>
    <mergeCell ref="E7:E8"/>
    <mergeCell ref="A5:A6"/>
    <mergeCell ref="F7:F8"/>
    <mergeCell ref="J21:J22"/>
    <mergeCell ref="J15:J16"/>
    <mergeCell ref="K15:K16"/>
    <mergeCell ref="J23:J24"/>
    <mergeCell ref="K23:K24"/>
    <mergeCell ref="L23:L24"/>
    <mergeCell ref="L19:L20"/>
    <mergeCell ref="J25:J26"/>
    <mergeCell ref="K25:K26"/>
    <mergeCell ref="L25:L26"/>
    <mergeCell ref="L31:L32"/>
    <mergeCell ref="J33:J34"/>
    <mergeCell ref="K33:K34"/>
    <mergeCell ref="L33:L34"/>
    <mergeCell ref="J31:J32"/>
    <mergeCell ref="K31:K32"/>
    <mergeCell ref="J29:J30"/>
    <mergeCell ref="L41:L42"/>
    <mergeCell ref="L47:L48"/>
    <mergeCell ref="J47:J48"/>
    <mergeCell ref="K47:K48"/>
    <mergeCell ref="J45:J46"/>
    <mergeCell ref="K45:K46"/>
    <mergeCell ref="L45:L46"/>
    <mergeCell ref="K43:K44"/>
    <mergeCell ref="L43:L44"/>
    <mergeCell ref="J41:J42"/>
    <mergeCell ref="J49:J50"/>
    <mergeCell ref="K49:K50"/>
    <mergeCell ref="L49:L50"/>
    <mergeCell ref="K53:K54"/>
    <mergeCell ref="L53:L54"/>
    <mergeCell ref="L51:L52"/>
    <mergeCell ref="J53:J54"/>
    <mergeCell ref="K57:K58"/>
    <mergeCell ref="L57:L58"/>
    <mergeCell ref="K69:K70"/>
    <mergeCell ref="L69:L70"/>
    <mergeCell ref="K61:K62"/>
    <mergeCell ref="L61:L62"/>
    <mergeCell ref="J63:J64"/>
    <mergeCell ref="K63:K64"/>
    <mergeCell ref="L63:L64"/>
    <mergeCell ref="J65:J66"/>
    <mergeCell ref="K65:K66"/>
    <mergeCell ref="L65:L66"/>
  </mergeCells>
  <printOptions horizontalCentered="1"/>
  <pageMargins left="0" right="0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AQ143"/>
  <sheetViews>
    <sheetView tabSelected="1" zoomScale="90" zoomScaleNormal="90" zoomScalePageLayoutView="0" workbookViewId="0" topLeftCell="C34">
      <selection activeCell="A73" sqref="A1:AE73"/>
    </sheetView>
  </sheetViews>
  <sheetFormatPr defaultColWidth="9.140625" defaultRowHeight="12.75"/>
  <cols>
    <col min="1" max="1" width="6.28125" style="0" customWidth="1"/>
    <col min="2" max="2" width="21.8515625" style="0" customWidth="1"/>
    <col min="3" max="3" width="10.140625" style="0" customWidth="1"/>
    <col min="4" max="4" width="8.57421875" style="0" customWidth="1"/>
    <col min="5" max="11" width="5.7109375" style="0" customWidth="1"/>
    <col min="12" max="20" width="4.7109375" style="0" customWidth="1"/>
    <col min="21" max="27" width="5.7109375" style="0" customWidth="1"/>
    <col min="28" max="28" width="23.28125" style="0" customWidth="1"/>
    <col min="29" max="29" width="10.00390625" style="0" customWidth="1"/>
    <col min="30" max="30" width="9.28125" style="0" customWidth="1"/>
    <col min="31" max="31" width="6.421875" style="0" customWidth="1"/>
    <col min="32" max="32" width="9.140625" style="171" customWidth="1"/>
    <col min="33" max="39" width="9.140625" style="171" hidden="1" customWidth="1"/>
    <col min="40" max="40" width="9.140625" style="171" customWidth="1"/>
  </cols>
  <sheetData>
    <row r="1" spans="1:31" ht="27.75" customHeight="1">
      <c r="A1" s="110"/>
      <c r="B1" s="112"/>
      <c r="C1" s="112"/>
      <c r="D1" s="112"/>
      <c r="E1" s="112"/>
      <c r="F1" s="363" t="s">
        <v>29</v>
      </c>
      <c r="G1" s="363"/>
      <c r="H1" s="363"/>
      <c r="I1" s="363"/>
      <c r="J1" s="363"/>
      <c r="K1" s="363"/>
      <c r="L1" s="363"/>
      <c r="M1" s="363"/>
      <c r="N1" s="363"/>
      <c r="O1" s="363"/>
      <c r="P1" s="363"/>
      <c r="Q1" s="363"/>
      <c r="R1" s="363"/>
      <c r="S1" s="363"/>
      <c r="T1" s="363"/>
      <c r="U1" s="363"/>
      <c r="V1" s="363"/>
      <c r="W1" s="363"/>
      <c r="X1" s="363"/>
      <c r="Y1" s="363"/>
      <c r="Z1" s="363"/>
      <c r="AA1" s="112"/>
      <c r="AB1" s="110"/>
      <c r="AC1" s="364" t="str">
        <f>'пр.взв.'!D4</f>
        <v>в.к. св 100 кг.</v>
      </c>
      <c r="AD1" s="365"/>
      <c r="AE1" s="366"/>
    </row>
    <row r="2" spans="1:31" ht="14.25" customHeight="1" thickBot="1">
      <c r="A2" s="110"/>
      <c r="B2" s="113"/>
      <c r="C2" s="113"/>
      <c r="D2" s="113"/>
      <c r="E2" s="113"/>
      <c r="F2" s="362" t="s">
        <v>30</v>
      </c>
      <c r="G2" s="362"/>
      <c r="H2" s="362"/>
      <c r="I2" s="362"/>
      <c r="J2" s="362"/>
      <c r="K2" s="362"/>
      <c r="L2" s="362"/>
      <c r="M2" s="362"/>
      <c r="N2" s="362"/>
      <c r="O2" s="362"/>
      <c r="P2" s="362"/>
      <c r="Q2" s="362"/>
      <c r="R2" s="362"/>
      <c r="S2" s="362"/>
      <c r="T2" s="362"/>
      <c r="U2" s="362"/>
      <c r="V2" s="362"/>
      <c r="W2" s="362"/>
      <c r="X2" s="362"/>
      <c r="Y2" s="362"/>
      <c r="Z2" s="362"/>
      <c r="AA2" s="113"/>
      <c r="AB2" s="114"/>
      <c r="AC2" s="367"/>
      <c r="AD2" s="368"/>
      <c r="AE2" s="369"/>
    </row>
    <row r="3" spans="1:31" ht="24.75" customHeight="1" thickBot="1">
      <c r="A3" s="115"/>
      <c r="B3" s="113"/>
      <c r="C3" s="110"/>
      <c r="D3" s="110"/>
      <c r="E3" s="110"/>
      <c r="F3" s="375" t="str">
        <f>'[2]реквизиты'!$A$2</f>
        <v>Чемпионат России по  САМБО среди мужчин.</v>
      </c>
      <c r="G3" s="376"/>
      <c r="H3" s="376"/>
      <c r="I3" s="376"/>
      <c r="J3" s="376"/>
      <c r="K3" s="376"/>
      <c r="L3" s="376"/>
      <c r="M3" s="376"/>
      <c r="N3" s="376"/>
      <c r="O3" s="376"/>
      <c r="P3" s="376"/>
      <c r="Q3" s="376"/>
      <c r="R3" s="376"/>
      <c r="S3" s="376"/>
      <c r="T3" s="376"/>
      <c r="U3" s="376"/>
      <c r="V3" s="376"/>
      <c r="W3" s="376"/>
      <c r="X3" s="376"/>
      <c r="Y3" s="376"/>
      <c r="Z3" s="377"/>
      <c r="AA3" s="110"/>
      <c r="AB3" s="116"/>
      <c r="AC3" s="370" t="s">
        <v>275</v>
      </c>
      <c r="AD3" s="371"/>
      <c r="AE3" s="372"/>
    </row>
    <row r="4" spans="1:31" ht="18" customHeight="1" thickBot="1">
      <c r="A4" s="117" t="s">
        <v>9</v>
      </c>
      <c r="B4" s="118"/>
      <c r="C4" s="119"/>
      <c r="D4" s="120"/>
      <c r="E4" s="110"/>
      <c r="F4" s="110"/>
      <c r="G4" s="110"/>
      <c r="H4" s="110"/>
      <c r="I4" s="110"/>
      <c r="J4" s="387" t="str">
        <f>'[2]реквизиты'!$A$3</f>
        <v>4-8 марта 2016.                                                         г.Химки</v>
      </c>
      <c r="K4" s="387"/>
      <c r="L4" s="387"/>
      <c r="M4" s="387"/>
      <c r="N4" s="387"/>
      <c r="O4" s="387"/>
      <c r="P4" s="387"/>
      <c r="Q4" s="387"/>
      <c r="R4" s="387"/>
      <c r="S4" s="387"/>
      <c r="T4" s="387"/>
      <c r="U4" s="115"/>
      <c r="V4" s="110"/>
      <c r="W4" s="110"/>
      <c r="X4" s="110"/>
      <c r="Y4" s="110"/>
      <c r="Z4" s="110"/>
      <c r="AA4" s="110"/>
      <c r="AB4" s="373" t="s">
        <v>10</v>
      </c>
      <c r="AC4" s="373"/>
      <c r="AD4" s="373"/>
      <c r="AE4" s="373"/>
    </row>
    <row r="5" spans="1:35" ht="12" customHeight="1" thickBot="1">
      <c r="A5" s="386">
        <v>1</v>
      </c>
      <c r="B5" s="385" t="str">
        <f>VLOOKUP(A5,'пр.взв.'!B$7:C$134,2,FALSE)</f>
        <v>ДЕМЕНКОВ Александр Михайлович</v>
      </c>
      <c r="C5" s="385" t="str">
        <f>VLOOKUP(A5,'пр.взв.'!B$7:H$134,3,FALSE)</f>
        <v>14.09.97, КМС</v>
      </c>
      <c r="D5" s="385" t="str">
        <f>VLOOKUP(A5,'пр.взв.'!B$7:F$134,4,FALSE)</f>
        <v>МОС</v>
      </c>
      <c r="E5" s="122"/>
      <c r="F5" s="122"/>
      <c r="G5" s="141"/>
      <c r="H5" s="110"/>
      <c r="I5" s="110"/>
      <c r="J5" s="110"/>
      <c r="K5" s="108"/>
      <c r="L5" s="81"/>
      <c r="M5" s="81"/>
      <c r="N5" s="81"/>
      <c r="O5" s="82"/>
      <c r="P5" s="111"/>
      <c r="Q5" s="111"/>
      <c r="R5" s="111"/>
      <c r="S5" s="78"/>
      <c r="T5" s="115"/>
      <c r="U5" s="115"/>
      <c r="V5" s="110"/>
      <c r="W5" s="110"/>
      <c r="X5" s="110"/>
      <c r="Y5" s="110"/>
      <c r="Z5" s="110"/>
      <c r="AA5" s="110"/>
      <c r="AB5" s="380" t="str">
        <f>VLOOKUP(AE5,'пр.взв.'!B$7:H$134,2,FALSE)</f>
        <v>МЕДВЕДЕВ Виктор Алексеевич</v>
      </c>
      <c r="AC5" s="380" t="str">
        <f>VLOOKUP(AE5,'пр.взв.'!B$7:H$134,3,FALSE)</f>
        <v>16.06.94 мс</v>
      </c>
      <c r="AD5" s="380" t="str">
        <f>VLOOKUP(AE5,'пр.взв.'!B$7:H$134,4,FALSE)</f>
        <v>ЦФО</v>
      </c>
      <c r="AE5" s="361">
        <v>2</v>
      </c>
      <c r="AH5" s="172">
        <f>IF(K20=A5,A7,IF(K20=A7,A5,IF(K20=A9,A11,IF(K20=A11,A9,IF(K20=A13,A15,IF(K20=A15,A13,IF(K20=A17,A19,IF(K20=A19,A17,0))))))))</f>
        <v>0</v>
      </c>
      <c r="AI5" s="172">
        <f>IF(K20=A21,A23,IF(K20=A23,A21,IF(K20=A25,A27,IF(K20=A27,A25,IF(K20=A29,A31,IF(K20=A31,A29,IF(K20=A33,A35,IF(K20=A35,A33,0))))))))</f>
        <v>61</v>
      </c>
    </row>
    <row r="6" spans="1:35" ht="12" customHeight="1" thickBot="1">
      <c r="A6" s="382"/>
      <c r="B6" s="384"/>
      <c r="C6" s="384"/>
      <c r="D6" s="384"/>
      <c r="E6" s="130">
        <v>1</v>
      </c>
      <c r="F6" s="142"/>
      <c r="G6" s="143"/>
      <c r="H6" s="144"/>
      <c r="I6" s="110"/>
      <c r="J6" s="110"/>
      <c r="K6" s="145"/>
      <c r="L6" s="85"/>
      <c r="M6" s="85"/>
      <c r="N6" s="374" t="s">
        <v>25</v>
      </c>
      <c r="O6" s="374"/>
      <c r="P6" s="169"/>
      <c r="Q6" s="169"/>
      <c r="R6" s="170"/>
      <c r="T6" s="110"/>
      <c r="U6" s="110"/>
      <c r="V6" s="110"/>
      <c r="W6" s="110"/>
      <c r="X6" s="110"/>
      <c r="Y6" s="110"/>
      <c r="Z6" s="110"/>
      <c r="AA6" s="130">
        <v>2</v>
      </c>
      <c r="AB6" s="381"/>
      <c r="AC6" s="381"/>
      <c r="AD6" s="381"/>
      <c r="AE6" s="359"/>
      <c r="AG6" s="171">
        <f>IF(AH5=0,AI5,AH5)</f>
        <v>61</v>
      </c>
      <c r="AH6" s="172">
        <f>IF(K53=A54,A56,IF(K53=A56,A54,IF(K53=A58,A60,IF(K53=A60,A58,IF(K53=A62,A64,IF(K53=A64,A62,IF(K53=A66,A68,IF(K53=A68,A66,0))))))))</f>
        <v>0</v>
      </c>
      <c r="AI6" s="172">
        <f>IF(K53=A38,A40,IF(K53=A40,A38,IF(K53=A42,A44,IF(K53=A44,A42,IF(K53=A46,A48,IF(K53=A48,A46,IF(K53=A50,A52,IF(K53=A52,A50,0))))))))</f>
        <v>43</v>
      </c>
    </row>
    <row r="7" spans="1:35" ht="12" customHeight="1" thickBot="1">
      <c r="A7" s="382">
        <v>33</v>
      </c>
      <c r="B7" s="381" t="str">
        <f>VLOOKUP(A7,'пр.взв.'!B$7:C$134,2,FALSE)</f>
        <v>ТАМБИЕВ Аслангери Артурович</v>
      </c>
      <c r="C7" s="381" t="str">
        <f>VLOOKUP(A7,'пр.взв.'!B$7:H$134,3,FALSE)</f>
        <v>11.07.92, КМС</v>
      </c>
      <c r="D7" s="381" t="str">
        <f>VLOOKUP(A7,'пр.взв.'!B$7:F$134,4,FALSE)</f>
        <v>СПБ</v>
      </c>
      <c r="E7" s="132" t="s">
        <v>276</v>
      </c>
      <c r="F7" s="146"/>
      <c r="G7" s="142"/>
      <c r="H7" s="147"/>
      <c r="I7" s="234"/>
      <c r="J7" s="145"/>
      <c r="K7" s="145"/>
      <c r="L7" s="409">
        <f>AG6</f>
        <v>61</v>
      </c>
      <c r="M7" s="409"/>
      <c r="N7" s="81"/>
      <c r="O7" s="81"/>
      <c r="P7" s="169"/>
      <c r="Q7" s="169"/>
      <c r="R7" s="170"/>
      <c r="S7" s="50"/>
      <c r="T7" s="234"/>
      <c r="U7" s="234"/>
      <c r="V7" s="110"/>
      <c r="W7" s="110"/>
      <c r="X7" s="110"/>
      <c r="Y7" s="110"/>
      <c r="Z7" s="131"/>
      <c r="AA7" s="132"/>
      <c r="AB7" s="378" t="e">
        <f>VLOOKUP(AE7,'пр.взв.'!B$7:H$134,2,FALSE)</f>
        <v>#N/A</v>
      </c>
      <c r="AC7" s="378" t="e">
        <f>VLOOKUP(AE7,'пр.взв.'!B$7:H$134,3,FALSE)</f>
        <v>#N/A</v>
      </c>
      <c r="AD7" s="378" t="e">
        <f>VLOOKUP(AE7,'пр.взв.'!B$7:H$134,4,FALSE)</f>
        <v>#N/A</v>
      </c>
      <c r="AE7" s="359">
        <v>34</v>
      </c>
      <c r="AG7" s="171">
        <f>IF(K20=E6,E10,IF(K20=E10,E6,IF(K20=E14,E18,IF(K20=E18,E14,IF(K20=E22,E26,IF(K20=E26,E22,IF(K20=E30,E34,E30)))))))</f>
        <v>13</v>
      </c>
      <c r="AH7" s="172">
        <f>IF(U20=AE5,AE7,IF(U20=AE7,AE5,IF(U20=AE9,AE11,IF(U20=AE11,AE9,IF(U20=AE13,AE15,IF(U20=AE15,AE13,IF(U20=AE17,AE19,IF(U20=AE19,AE17,0))))))))</f>
        <v>58</v>
      </c>
      <c r="AI7" s="172">
        <f>IF(U20=AE21,AE23,IF(U20=AE23,AE21,IF(U20=AE25,AE27,IF(U20=AE27,AE25,IF(U20=AE29,AE31,IF(U20=AE31,AE29,IF(U20=AE33,AE35,IF(U20=AE35,AE33,0))))))))</f>
        <v>0</v>
      </c>
    </row>
    <row r="8" spans="1:35" ht="12" customHeight="1" thickBot="1">
      <c r="A8" s="383"/>
      <c r="B8" s="384"/>
      <c r="C8" s="384"/>
      <c r="D8" s="384"/>
      <c r="E8" s="142"/>
      <c r="F8" s="148"/>
      <c r="G8" s="130">
        <v>17</v>
      </c>
      <c r="H8" s="149"/>
      <c r="I8" s="234"/>
      <c r="J8" s="136"/>
      <c r="K8" s="108"/>
      <c r="L8" s="410"/>
      <c r="M8" s="411"/>
      <c r="N8" s="109">
        <v>13</v>
      </c>
      <c r="O8" s="235"/>
      <c r="P8" s="236"/>
      <c r="Q8" s="50"/>
      <c r="R8" s="50"/>
      <c r="S8" s="50"/>
      <c r="T8" s="234"/>
      <c r="U8" s="234"/>
      <c r="V8" s="110"/>
      <c r="W8" s="110"/>
      <c r="X8" s="133"/>
      <c r="Y8" s="130">
        <v>18</v>
      </c>
      <c r="Z8" s="134"/>
      <c r="AA8" s="110"/>
      <c r="AB8" s="379"/>
      <c r="AC8" s="379"/>
      <c r="AD8" s="379"/>
      <c r="AE8" s="360"/>
      <c r="AG8" s="171">
        <f>IF(K20=G8,G16,IF(K20=G16,G8,IF(K20=G24,G32,G24)))</f>
        <v>5</v>
      </c>
      <c r="AH8" s="172">
        <f>IF(U53=AE54,AE56,IF(U53=AE56,AE54,IF(U53=AE58,AE60,IF(U53=AE60,AE58,IF(U53=AE62,AE64,IF(U53=AE64,AE62,IF(U53=AE66,AE68,IF(U53=AE68,AE66,0))))))))</f>
        <v>0</v>
      </c>
      <c r="AI8" s="172">
        <f>IF(U53=AE38,AE40,IF(U53=AE40,AE38,IF(U53=AE42,AE44,IF(U53=AE44,AE42,IF(U53=AE46,AE48,IF(U53=AE48,AE46,IF(U53=AE50,AE52,IF(U53=AE52,AE50,0))))))))</f>
        <v>44</v>
      </c>
    </row>
    <row r="9" spans="1:39" ht="12" customHeight="1" thickBot="1">
      <c r="A9" s="386">
        <v>17</v>
      </c>
      <c r="B9" s="385" t="str">
        <f>VLOOKUP(A9,'пр.взв.'!B$7:C$134,2,FALSE)</f>
        <v>САРИБЕКЯН Павел Андреевич</v>
      </c>
      <c r="C9" s="385" t="str">
        <f>VLOOKUP(A9,'пр.взв.'!B$7:H$134,3,FALSE)</f>
        <v>13.07.92, МС</v>
      </c>
      <c r="D9" s="385" t="str">
        <f>VLOOKUP(A9,'пр.взв.'!B$7:F$134,4,FALSE)</f>
        <v>ЮФО</v>
      </c>
      <c r="E9" s="122"/>
      <c r="F9" s="142"/>
      <c r="G9" s="132" t="s">
        <v>276</v>
      </c>
      <c r="H9" s="150"/>
      <c r="I9" s="237"/>
      <c r="J9" s="234"/>
      <c r="K9" s="145"/>
      <c r="L9" s="229"/>
      <c r="M9" s="230"/>
      <c r="N9" s="239"/>
      <c r="O9" s="236"/>
      <c r="P9" s="235"/>
      <c r="Q9" s="50"/>
      <c r="R9" s="50"/>
      <c r="S9" s="50"/>
      <c r="T9" s="234"/>
      <c r="U9" s="234"/>
      <c r="V9" s="110"/>
      <c r="W9" s="110"/>
      <c r="X9" s="134"/>
      <c r="Y9" s="132" t="s">
        <v>278</v>
      </c>
      <c r="Z9" s="134"/>
      <c r="AA9" s="110"/>
      <c r="AB9" s="380" t="str">
        <f>VLOOKUP(AE9,'пр.взв.'!B$7:H$134,2,FALSE)</f>
        <v>ХАПЦЕВ Артур Русланович</v>
      </c>
      <c r="AC9" s="380" t="str">
        <f>VLOOKUP(AE9,'пр.взв.'!B$7:H$134,3,FALSE)</f>
        <v>15.01.88, МС</v>
      </c>
      <c r="AD9" s="380" t="str">
        <f>VLOOKUP(AE9,'пр.взв.'!B$7:H$134,4,FALSE)</f>
        <v>УФО</v>
      </c>
      <c r="AE9" s="361">
        <v>18</v>
      </c>
      <c r="AG9" s="171">
        <f>IF(K20=I12,I28,I12)</f>
        <v>17</v>
      </c>
      <c r="AH9" s="173"/>
      <c r="AI9" s="173" t="s">
        <v>70</v>
      </c>
      <c r="AK9" s="173" t="s">
        <v>70</v>
      </c>
      <c r="AL9" s="173" t="s">
        <v>70</v>
      </c>
      <c r="AM9" s="173" t="s">
        <v>71</v>
      </c>
    </row>
    <row r="10" spans="1:39" ht="12" customHeight="1" thickBot="1">
      <c r="A10" s="382"/>
      <c r="B10" s="384"/>
      <c r="C10" s="384"/>
      <c r="D10" s="384"/>
      <c r="E10" s="130">
        <v>17</v>
      </c>
      <c r="F10" s="151"/>
      <c r="G10" s="142"/>
      <c r="H10" s="144"/>
      <c r="I10" s="237"/>
      <c r="J10" s="149"/>
      <c r="K10" s="108"/>
      <c r="L10" s="409">
        <f>AG7</f>
        <v>13</v>
      </c>
      <c r="M10" s="412"/>
      <c r="N10" s="51"/>
      <c r="O10" s="109">
        <v>5</v>
      </c>
      <c r="P10" s="235"/>
      <c r="Q10" s="235"/>
      <c r="R10" s="50"/>
      <c r="S10" s="240"/>
      <c r="T10" s="234"/>
      <c r="U10" s="234"/>
      <c r="V10" s="110"/>
      <c r="W10" s="110"/>
      <c r="X10" s="134"/>
      <c r="Y10" s="110"/>
      <c r="Z10" s="135"/>
      <c r="AA10" s="130">
        <v>18</v>
      </c>
      <c r="AB10" s="381"/>
      <c r="AC10" s="381"/>
      <c r="AD10" s="381"/>
      <c r="AE10" s="359"/>
      <c r="AG10" s="171">
        <f>IF(AH6=0,AI6,AH6)</f>
        <v>43</v>
      </c>
      <c r="AH10" s="172">
        <f>IF(OR(K$20=A5,K$20=A7)," ",IF(E6=A5,A7,A5))</f>
        <v>33</v>
      </c>
      <c r="AI10" s="174">
        <f>IF(AH10=" ",AH11,AH10)</f>
        <v>33</v>
      </c>
      <c r="AJ10" s="172">
        <f>IF(OR(K$20=E6,K$20=E10)," ",IF(G8=E6,E10,E6))</f>
        <v>1</v>
      </c>
      <c r="AK10" s="174">
        <f>IF(AJ10=" ",AJ11,AJ10)</f>
        <v>1</v>
      </c>
      <c r="AL10" s="173">
        <f>IF(OR(K$20=G8,K$20=G16)," ",IF(I12=G8,G16,G8))</f>
        <v>9</v>
      </c>
      <c r="AM10" s="171">
        <f>IF(N8=L7,L10,L7)</f>
        <v>61</v>
      </c>
    </row>
    <row r="11" spans="1:39" ht="12" customHeight="1" thickBot="1">
      <c r="A11" s="382">
        <v>49</v>
      </c>
      <c r="B11" s="379" t="e">
        <f>VLOOKUP(A11,'пр.взв.'!B$7:C$134,2,FALSE)</f>
        <v>#N/A</v>
      </c>
      <c r="C11" s="379" t="e">
        <f>VLOOKUP(A11,'пр.взв.'!B$7:H$134,3,FALSE)</f>
        <v>#N/A</v>
      </c>
      <c r="D11" s="379" t="e">
        <f>VLOOKUP(A11,'пр.взв.'!B$7:F$134,4,FALSE)</f>
        <v>#N/A</v>
      </c>
      <c r="E11" s="132"/>
      <c r="F11" s="142"/>
      <c r="G11" s="142"/>
      <c r="H11" s="147"/>
      <c r="I11" s="161"/>
      <c r="J11" s="149"/>
      <c r="K11" s="234"/>
      <c r="L11" s="413"/>
      <c r="M11" s="413"/>
      <c r="N11" s="15">
        <f>AG8</f>
        <v>5</v>
      </c>
      <c r="O11" s="239" t="s">
        <v>278</v>
      </c>
      <c r="P11" s="235"/>
      <c r="Q11" s="50"/>
      <c r="R11" s="50"/>
      <c r="S11" s="235"/>
      <c r="T11" s="108"/>
      <c r="U11" s="234"/>
      <c r="V11" s="110"/>
      <c r="W11" s="110"/>
      <c r="X11" s="134"/>
      <c r="Y11" s="110"/>
      <c r="Z11" s="110"/>
      <c r="AA11" s="132"/>
      <c r="AB11" s="378" t="e">
        <f>VLOOKUP(AE11,'пр.взв.'!B$7:H$134,2,FALSE)</f>
        <v>#N/A</v>
      </c>
      <c r="AC11" s="378" t="e">
        <f>VLOOKUP(AE11,'пр.взв.'!B$7:H$134,3,FALSE)</f>
        <v>#N/A</v>
      </c>
      <c r="AD11" s="378" t="e">
        <f>VLOOKUP(AE11,'пр.взв.'!B$7:H$134,4,FALSE)</f>
        <v>#N/A</v>
      </c>
      <c r="AE11" s="359">
        <v>50</v>
      </c>
      <c r="AG11" s="171">
        <f>IF(K53=E39,E43,IF(K53=E43,E39,IF(K53=E47,E51,IF(K53=E51,E47,IF(K53=E55,E59,IF(K53=E59,E55,IF(K53=E63,E67,E63)))))))</f>
        <v>27</v>
      </c>
      <c r="AH11" s="172">
        <f>IF(OR(K$20=A9,K$20=A11)," ",IF(E10=A9,A11,A9))</f>
        <v>49</v>
      </c>
      <c r="AI11" s="174">
        <f>IF(OR(AH10=" ",AH11=" "),AH12,AH11)</f>
        <v>49</v>
      </c>
      <c r="AJ11" s="172">
        <f>IF(OR(K$20=E14,K$20=E18)," ",IF(G16=E14,E18,E14))</f>
        <v>25</v>
      </c>
      <c r="AK11" s="174">
        <f>IF(OR(AJ10=" ",AJ11=" "),AJ12,AJ11)</f>
        <v>25</v>
      </c>
      <c r="AL11" s="171">
        <f>IF(AND(OR(K20=G8,K20=G16),I28=G24),G32,IF(AND(OR(K20=G8,K20=G16),I28=G32),G24,IF(I12=G8,G16,G8)))</f>
        <v>9</v>
      </c>
      <c r="AM11" s="171">
        <f>IF(N57=L56,L59,L56)</f>
        <v>58</v>
      </c>
    </row>
    <row r="12" spans="1:39" ht="12" customHeight="1" thickBot="1">
      <c r="A12" s="383"/>
      <c r="B12" s="400"/>
      <c r="C12" s="400"/>
      <c r="D12" s="400"/>
      <c r="E12" s="142"/>
      <c r="F12" s="142"/>
      <c r="G12" s="148"/>
      <c r="H12" s="152"/>
      <c r="I12" s="130">
        <v>17</v>
      </c>
      <c r="J12" s="153"/>
      <c r="K12" s="234"/>
      <c r="L12" s="227"/>
      <c r="M12" s="228"/>
      <c r="N12" s="50"/>
      <c r="O12" s="51"/>
      <c r="P12" s="109">
        <v>5</v>
      </c>
      <c r="Q12" s="50"/>
      <c r="R12" s="50"/>
      <c r="S12" s="235"/>
      <c r="T12" s="136"/>
      <c r="U12" s="234"/>
      <c r="V12" s="110"/>
      <c r="W12" s="130">
        <v>26</v>
      </c>
      <c r="X12" s="134"/>
      <c r="Y12" s="110"/>
      <c r="Z12" s="110"/>
      <c r="AA12" s="110"/>
      <c r="AB12" s="379"/>
      <c r="AC12" s="379"/>
      <c r="AD12" s="379"/>
      <c r="AE12" s="360"/>
      <c r="AG12" s="171">
        <f>IF(K53=G41,G49,IF(K53=G49,G41,IF(K53=G57,G65,G57)))</f>
        <v>3</v>
      </c>
      <c r="AH12" s="172">
        <f>IF(OR(K$20=A13,K$20=A15)," ",IF(E14=A13,A15,A13))</f>
        <v>41</v>
      </c>
      <c r="AI12" s="174">
        <f>IF(OR(AH10=" ",AH11=" ",AH12=" "),AH13,AH12)</f>
        <v>41</v>
      </c>
      <c r="AJ12" s="172">
        <f>IF(OR(K$20=E22,K$20=E26)," ",IF(G24=E22,E26,E22))</f>
        <v>21</v>
      </c>
      <c r="AK12" s="174">
        <f>IF(OR(AJ10=" ",AJ11=" ",AJ12=" "),AJ13,AJ12)</f>
        <v>21</v>
      </c>
      <c r="AM12" s="171">
        <f>IF(N15=L14,L17,L14)</f>
        <v>43</v>
      </c>
    </row>
    <row r="13" spans="1:39" ht="12" customHeight="1" thickBot="1">
      <c r="A13" s="386">
        <v>9</v>
      </c>
      <c r="B13" s="385" t="str">
        <f>VLOOKUP(A13,'пр.взв.'!B$7:C$134,2,FALSE)</f>
        <v>ДЬЯКОНОВ Иван Викторович</v>
      </c>
      <c r="C13" s="385" t="str">
        <f>VLOOKUP(A13,'пр.взв.'!B$7:H$134,3,FALSE)</f>
        <v>27.08.86 мс</v>
      </c>
      <c r="D13" s="385" t="str">
        <f>VLOOKUP(A13,'пр.взв.'!B$7:F$134,4,FALSE)</f>
        <v>СЗФО</v>
      </c>
      <c r="E13" s="122"/>
      <c r="F13" s="122"/>
      <c r="G13" s="142"/>
      <c r="H13" s="154"/>
      <c r="I13" s="132" t="s">
        <v>278</v>
      </c>
      <c r="J13" s="136"/>
      <c r="K13" s="138"/>
      <c r="L13" s="231"/>
      <c r="M13" s="228"/>
      <c r="N13" s="50"/>
      <c r="O13" s="15">
        <f>AG9</f>
        <v>17</v>
      </c>
      <c r="P13" s="239" t="s">
        <v>277</v>
      </c>
      <c r="Q13" s="50"/>
      <c r="R13" s="50"/>
      <c r="S13" s="241"/>
      <c r="T13" s="137"/>
      <c r="U13" s="234"/>
      <c r="V13" s="131"/>
      <c r="W13" s="132" t="s">
        <v>276</v>
      </c>
      <c r="X13" s="134"/>
      <c r="Y13" s="110"/>
      <c r="Z13" s="110"/>
      <c r="AA13" s="110"/>
      <c r="AB13" s="380" t="str">
        <f>VLOOKUP(AE13,'пр.взв.'!B$7:H$134,2,FALSE)</f>
        <v>МЕРЕТУКОВ Заур Довлетбиевич</v>
      </c>
      <c r="AC13" s="380" t="str">
        <f>VLOOKUP(AE13,'пр.взв.'!B$7:H$134,3,FALSE)</f>
        <v>08.10.93, КМС</v>
      </c>
      <c r="AD13" s="380" t="str">
        <f>VLOOKUP(AE13,'пр.взв.'!B$7:H$134,4,FALSE)</f>
        <v>МОС</v>
      </c>
      <c r="AE13" s="361">
        <v>10</v>
      </c>
      <c r="AG13" s="171">
        <f>IF(K53=I46,I61,I46)</f>
        <v>15</v>
      </c>
      <c r="AH13" s="172">
        <f>IF(OR(K$20=A17,K$20=A19)," ",IF(E18=A17,A19,A17))</f>
        <v>57</v>
      </c>
      <c r="AI13" s="174">
        <f>IF(OR(AH10=" ",AH11=" ",AH12=" ",AH13=" "),AH14,AH13)</f>
        <v>57</v>
      </c>
      <c r="AJ13" s="172">
        <f>IF(OR(K$53=E30,K$53=E34)," ",IF(G32=E30,E34,E30))</f>
        <v>13</v>
      </c>
      <c r="AM13" s="171">
        <f>IF(N64=L63,L66,L63)</f>
        <v>44</v>
      </c>
    </row>
    <row r="14" spans="1:39" ht="12" customHeight="1" thickBot="1">
      <c r="A14" s="382"/>
      <c r="B14" s="384"/>
      <c r="C14" s="384"/>
      <c r="D14" s="384"/>
      <c r="E14" s="130">
        <v>9</v>
      </c>
      <c r="F14" s="142"/>
      <c r="G14" s="142"/>
      <c r="H14" s="155"/>
      <c r="I14" s="234"/>
      <c r="J14" s="136"/>
      <c r="K14" s="138"/>
      <c r="L14" s="409">
        <f>AG10</f>
        <v>43</v>
      </c>
      <c r="M14" s="409"/>
      <c r="N14" s="50"/>
      <c r="O14" s="50"/>
      <c r="P14" s="242"/>
      <c r="Q14" s="50"/>
      <c r="R14" s="50"/>
      <c r="S14" s="241"/>
      <c r="T14" s="137"/>
      <c r="U14" s="234"/>
      <c r="V14" s="134"/>
      <c r="W14" s="110"/>
      <c r="X14" s="134"/>
      <c r="Y14" s="110"/>
      <c r="Z14" s="110"/>
      <c r="AA14" s="130">
        <v>10</v>
      </c>
      <c r="AB14" s="381"/>
      <c r="AC14" s="381"/>
      <c r="AD14" s="381"/>
      <c r="AE14" s="359"/>
      <c r="AG14" s="171">
        <f>IF(S36=U20,U53,U20)</f>
        <v>12</v>
      </c>
      <c r="AH14" s="172">
        <f>IF(OR(K$20=A21,K$20=A23)," ",IF(E22=A21,A23,A21))</f>
        <v>37</v>
      </c>
      <c r="AI14" s="174">
        <f>IF(OR(AH10=" ",AH11=" ",AH12=" ",AH13=" ",AH14=" "),AH15,AH14)</f>
        <v>37</v>
      </c>
      <c r="AJ14" s="175"/>
      <c r="AM14" s="173" t="s">
        <v>71</v>
      </c>
    </row>
    <row r="15" spans="1:39" ht="12" customHeight="1" thickBot="1">
      <c r="A15" s="382">
        <v>41</v>
      </c>
      <c r="B15" s="379" t="e">
        <f>VLOOKUP(A15,'пр.взв.'!B$7:C$134,2,FALSE)</f>
        <v>#N/A</v>
      </c>
      <c r="C15" s="379" t="e">
        <f>VLOOKUP(A15,'пр.взв.'!B$7:H$134,3,FALSE)</f>
        <v>#N/A</v>
      </c>
      <c r="D15" s="379" t="e">
        <f>VLOOKUP(A15,'пр.взв.'!B$7:F$134,4,FALSE)</f>
        <v>#N/A</v>
      </c>
      <c r="E15" s="132"/>
      <c r="F15" s="146"/>
      <c r="G15" s="142"/>
      <c r="H15" s="156"/>
      <c r="I15" s="136"/>
      <c r="J15" s="136"/>
      <c r="K15" s="138"/>
      <c r="L15" s="232"/>
      <c r="M15" s="233"/>
      <c r="N15" s="244">
        <v>27</v>
      </c>
      <c r="O15" s="50"/>
      <c r="P15" s="245"/>
      <c r="Q15" s="244">
        <v>5</v>
      </c>
      <c r="R15" s="50"/>
      <c r="S15" s="246"/>
      <c r="T15" s="137"/>
      <c r="U15" s="234"/>
      <c r="V15" s="134"/>
      <c r="W15" s="110"/>
      <c r="X15" s="134"/>
      <c r="Y15" s="110"/>
      <c r="Z15" s="131"/>
      <c r="AA15" s="132"/>
      <c r="AB15" s="378" t="e">
        <f>VLOOKUP(AE15,'пр.взв.'!B$7:H$134,2,FALSE)</f>
        <v>#N/A</v>
      </c>
      <c r="AC15" s="378" t="e">
        <f>VLOOKUP(AE15,'пр.взв.'!B$7:H$134,3,FALSE)</f>
        <v>#N/A</v>
      </c>
      <c r="AD15" s="378" t="e">
        <f>VLOOKUP(AE15,'пр.взв.'!B$7:H$134,4,FALSE)</f>
        <v>#N/A</v>
      </c>
      <c r="AE15" s="359">
        <v>42</v>
      </c>
      <c r="AG15" s="171">
        <f>IF(M32=M36,S36,M36)</f>
        <v>26</v>
      </c>
      <c r="AH15" s="172">
        <f>IF(OR(K$20=A25,K$20=A27)," ",IF(E26=A25,A27,A25))</f>
        <v>53</v>
      </c>
      <c r="AI15" s="174">
        <f>IF(OR(AH10=" ",AH11=" ",AH12=" ",AH13=" ",AH14=" ",AH15=" "),AH16,AH15)</f>
        <v>53</v>
      </c>
      <c r="AJ15" s="175"/>
      <c r="AM15" s="171">
        <f>IF(O10=N8,N11,N8)</f>
        <v>13</v>
      </c>
    </row>
    <row r="16" spans="1:39" ht="12" customHeight="1" thickBot="1">
      <c r="A16" s="383"/>
      <c r="B16" s="400"/>
      <c r="C16" s="400"/>
      <c r="D16" s="400"/>
      <c r="E16" s="142"/>
      <c r="F16" s="148"/>
      <c r="G16" s="130">
        <v>9</v>
      </c>
      <c r="H16" s="157"/>
      <c r="I16" s="136"/>
      <c r="J16" s="136"/>
      <c r="K16" s="138"/>
      <c r="L16" s="229"/>
      <c r="M16" s="230"/>
      <c r="N16" s="239"/>
      <c r="O16" s="50"/>
      <c r="P16" s="242"/>
      <c r="Q16" s="239" t="s">
        <v>276</v>
      </c>
      <c r="R16" s="50"/>
      <c r="S16" s="241"/>
      <c r="T16" s="108"/>
      <c r="U16" s="234"/>
      <c r="V16" s="134"/>
      <c r="W16" s="110"/>
      <c r="X16" s="135"/>
      <c r="Y16" s="130">
        <v>26</v>
      </c>
      <c r="Z16" s="134"/>
      <c r="AA16" s="110"/>
      <c r="AB16" s="379"/>
      <c r="AC16" s="379"/>
      <c r="AD16" s="379"/>
      <c r="AE16" s="360"/>
      <c r="AH16" s="172">
        <f>IF(OR(K$20=A29,K$20=A31)," ",IF(E30=A29,A31,A29))</f>
        <v>45</v>
      </c>
      <c r="AI16" s="174">
        <f>IF(OR(AH10=" ",AH11=" ",AH12=" ",AH13=" ",AH14=" ",AH15=" ",AH16=" "),AH17,AH16)</f>
        <v>45</v>
      </c>
      <c r="AJ16" s="175"/>
      <c r="AM16" s="171">
        <f>IF(O59=N57,N60,N57)</f>
        <v>18</v>
      </c>
    </row>
    <row r="17" spans="1:39" ht="12" customHeight="1" thickBot="1">
      <c r="A17" s="386">
        <v>25</v>
      </c>
      <c r="B17" s="385" t="str">
        <f>VLOOKUP(A17,'пр.взв.'!B$7:C$134,2,FALSE)</f>
        <v>ЧЕРНЫШОВ Антон Геннадьевич</v>
      </c>
      <c r="C17" s="385" t="str">
        <f>VLOOKUP(A17,'пр.взв.'!B$7:H$134,3,FALSE)</f>
        <v>15.11.92, МС</v>
      </c>
      <c r="D17" s="385" t="str">
        <f>VLOOKUP(A17,'пр.взв.'!B$7:F$134,4,FALSE)</f>
        <v>МОС</v>
      </c>
      <c r="E17" s="122"/>
      <c r="F17" s="142"/>
      <c r="G17" s="132" t="s">
        <v>276</v>
      </c>
      <c r="H17" s="147"/>
      <c r="I17" s="136"/>
      <c r="J17" s="136"/>
      <c r="K17" s="138"/>
      <c r="L17" s="409">
        <f>AG11</f>
        <v>27</v>
      </c>
      <c r="M17" s="412"/>
      <c r="N17" s="51"/>
      <c r="O17" s="244">
        <v>3</v>
      </c>
      <c r="P17" s="242"/>
      <c r="Q17" s="51"/>
      <c r="R17" s="50"/>
      <c r="S17" s="241"/>
      <c r="T17" s="108"/>
      <c r="U17" s="234"/>
      <c r="V17" s="134"/>
      <c r="W17" s="110"/>
      <c r="X17" s="110"/>
      <c r="Y17" s="132" t="s">
        <v>276</v>
      </c>
      <c r="Z17" s="134"/>
      <c r="AA17" s="110"/>
      <c r="AB17" s="380" t="str">
        <f>VLOOKUP(AE17,'пр.взв.'!B$7:H$134,2,FALSE)</f>
        <v>АРСЛАНОВ Рустем Разитович</v>
      </c>
      <c r="AC17" s="380" t="str">
        <f>VLOOKUP(AE17,'пр.взв.'!B$7:H$134,3,FALSE)</f>
        <v>31.07.80 мс</v>
      </c>
      <c r="AD17" s="380" t="str">
        <f>VLOOKUP(AE17,'пр.взв.'!B$7:H$134,4,FALSE)</f>
        <v>ПФО</v>
      </c>
      <c r="AE17" s="361">
        <v>26</v>
      </c>
      <c r="AH17" s="172" t="str">
        <f>IF(OR(K$20=A33,K$20=A35)," ",IF(E34=A33,A35,A33))</f>
        <v> </v>
      </c>
      <c r="AJ17" s="175"/>
      <c r="AM17" s="171">
        <f>IF(O17=N15,N18,N15)</f>
        <v>27</v>
      </c>
    </row>
    <row r="18" spans="1:39" ht="12" customHeight="1" thickBot="1">
      <c r="A18" s="382"/>
      <c r="B18" s="384"/>
      <c r="C18" s="384"/>
      <c r="D18" s="384"/>
      <c r="E18" s="130">
        <v>25</v>
      </c>
      <c r="F18" s="151"/>
      <c r="G18" s="142"/>
      <c r="H18" s="144"/>
      <c r="I18" s="136"/>
      <c r="J18" s="136"/>
      <c r="K18" s="138"/>
      <c r="L18" s="227"/>
      <c r="M18" s="228"/>
      <c r="N18" s="15">
        <f>AG12</f>
        <v>3</v>
      </c>
      <c r="O18" s="239" t="s">
        <v>277</v>
      </c>
      <c r="P18" s="242"/>
      <c r="Q18" s="51"/>
      <c r="R18" s="130">
        <v>12</v>
      </c>
      <c r="S18" s="241"/>
      <c r="T18" s="108"/>
      <c r="U18" s="234"/>
      <c r="V18" s="134"/>
      <c r="W18" s="110"/>
      <c r="X18" s="110"/>
      <c r="Y18" s="110"/>
      <c r="Z18" s="135"/>
      <c r="AA18" s="130">
        <v>26</v>
      </c>
      <c r="AB18" s="381"/>
      <c r="AC18" s="381"/>
      <c r="AD18" s="381"/>
      <c r="AE18" s="359"/>
      <c r="AH18" s="176"/>
      <c r="AI18" s="173" t="s">
        <v>69</v>
      </c>
      <c r="AJ18" s="175"/>
      <c r="AK18" s="173" t="s">
        <v>69</v>
      </c>
      <c r="AL18" s="173" t="s">
        <v>69</v>
      </c>
      <c r="AM18" s="171">
        <f>IF(O66=N64,N67,N64)</f>
        <v>28</v>
      </c>
    </row>
    <row r="19" spans="1:39" ht="12" customHeight="1" thickBot="1">
      <c r="A19" s="382">
        <v>57</v>
      </c>
      <c r="B19" s="379" t="e">
        <f>VLOOKUP(A19,'пр.взв.'!B$7:C$134,2,FALSE)</f>
        <v>#N/A</v>
      </c>
      <c r="C19" s="379" t="e">
        <f>VLOOKUP(A19,'пр.взв.'!B$7:H$134,3,FALSE)</f>
        <v>#N/A</v>
      </c>
      <c r="D19" s="379" t="e">
        <f>VLOOKUP(A19,'пр.взв.'!B$7:F$134,4,FALSE)</f>
        <v>#N/A</v>
      </c>
      <c r="E19" s="132"/>
      <c r="F19" s="142"/>
      <c r="G19" s="142"/>
      <c r="H19" s="147"/>
      <c r="I19" s="136"/>
      <c r="J19" s="136"/>
      <c r="K19" s="138"/>
      <c r="L19" s="81"/>
      <c r="M19" s="235"/>
      <c r="N19" s="50"/>
      <c r="O19" s="51"/>
      <c r="P19" s="157">
        <v>15</v>
      </c>
      <c r="Q19" s="51"/>
      <c r="R19" s="247" t="s">
        <v>276</v>
      </c>
      <c r="S19" s="241"/>
      <c r="T19" s="234"/>
      <c r="U19" s="234"/>
      <c r="V19" s="134"/>
      <c r="W19" s="110"/>
      <c r="X19" s="110"/>
      <c r="Y19" s="110"/>
      <c r="Z19" s="110"/>
      <c r="AA19" s="132"/>
      <c r="AB19" s="378" t="e">
        <f>VLOOKUP(AE19,'пр.взв.'!B$7:H$134,2,FALSE)</f>
        <v>#N/A</v>
      </c>
      <c r="AC19" s="378" t="e">
        <f>VLOOKUP(AE19,'пр.взв.'!B$7:H$134,3,FALSE)</f>
        <v>#N/A</v>
      </c>
      <c r="AD19" s="378" t="e">
        <f>VLOOKUP(AE19,'пр.взв.'!B$7:H$134,4,FALSE)</f>
        <v>#N/A</v>
      </c>
      <c r="AE19" s="359">
        <v>58</v>
      </c>
      <c r="AH19" s="172">
        <f>IF(OR(K$53=A38,K$53=A40)," ",IF(E39=A38,A40,A38))</f>
        <v>35</v>
      </c>
      <c r="AI19" s="174">
        <f>IF(AH19=" ",AH20,AH19)</f>
        <v>35</v>
      </c>
      <c r="AJ19" s="172">
        <f>IF(OR(K$53=E39,K$53=E43)," ",IF(G41=E39,E43,E39))</f>
        <v>19</v>
      </c>
      <c r="AK19" s="174">
        <f>IF(AJ19=" ",AJ20,AJ19)</f>
        <v>19</v>
      </c>
      <c r="AM19" s="173" t="s">
        <v>71</v>
      </c>
    </row>
    <row r="20" spans="1:39" ht="12" customHeight="1" thickBot="1">
      <c r="A20" s="383"/>
      <c r="B20" s="400"/>
      <c r="C20" s="400"/>
      <c r="D20" s="400"/>
      <c r="E20" s="142"/>
      <c r="F20" s="142"/>
      <c r="G20" s="142"/>
      <c r="H20" s="144"/>
      <c r="I20" s="136"/>
      <c r="J20" s="136"/>
      <c r="K20" s="130">
        <v>29</v>
      </c>
      <c r="L20" s="248"/>
      <c r="M20" s="246"/>
      <c r="N20" s="50"/>
      <c r="O20" s="15">
        <f>AG13</f>
        <v>15</v>
      </c>
      <c r="P20" s="249" t="s">
        <v>277</v>
      </c>
      <c r="Q20" s="51"/>
      <c r="R20" s="50"/>
      <c r="S20" s="241"/>
      <c r="T20" s="250"/>
      <c r="U20" s="130">
        <v>26</v>
      </c>
      <c r="V20" s="134"/>
      <c r="W20" s="110"/>
      <c r="X20" s="110"/>
      <c r="Y20" s="110"/>
      <c r="Z20" s="110"/>
      <c r="AA20" s="110"/>
      <c r="AB20" s="379"/>
      <c r="AC20" s="379"/>
      <c r="AD20" s="379"/>
      <c r="AE20" s="360"/>
      <c r="AH20" s="172">
        <f>IF(OR(K$53=A42,K$53=A44)," ",IF(E43=A42,A44,A42))</f>
        <v>51</v>
      </c>
      <c r="AI20" s="174">
        <f>IF(OR(AH18=" ",AH19=" ",AH20=" "),AH21,AH20)</f>
        <v>51</v>
      </c>
      <c r="AJ20" s="172" t="str">
        <f>IF(OR(K$53=E47,K$53=E51)," ",IF(G49=E47,E51,E47))</f>
        <v> </v>
      </c>
      <c r="AK20" s="174">
        <f>IF(OR(AJ18=" ",AJ19=" ",AJ20=" "),AJ21,AJ20)</f>
        <v>23</v>
      </c>
      <c r="AL20" s="171">
        <f>IF(AND(OR(K53=G41,K53=G49),I61=G57),G65,IF(AND(OR(K53=G41,K53=G49),I61=G65),G57,IF(I46=G41,G49,G41)))</f>
        <v>7</v>
      </c>
      <c r="AM20" s="171">
        <f>IF(P12=O10,O13,O10)</f>
        <v>17</v>
      </c>
    </row>
    <row r="21" spans="1:39" ht="12" customHeight="1" thickBot="1">
      <c r="A21" s="386">
        <v>5</v>
      </c>
      <c r="B21" s="385" t="str">
        <f>VLOOKUP(A21,'пр.взв.'!B$7:C$134,2,FALSE)</f>
        <v>ГЕНИЯТОВ Глеб Эдуардович</v>
      </c>
      <c r="C21" s="385" t="str">
        <f>VLOOKUP(A21,'пр.взв.'!B$7:H$134,3,FALSE)</f>
        <v>29.04.85, МС</v>
      </c>
      <c r="D21" s="385" t="str">
        <f>VLOOKUP(A21,'пр.взв.'!B$7:F$134,4,FALSE)</f>
        <v>УФО</v>
      </c>
      <c r="E21" s="122"/>
      <c r="F21" s="122"/>
      <c r="G21" s="141"/>
      <c r="H21" s="141"/>
      <c r="I21" s="109"/>
      <c r="J21" s="109"/>
      <c r="K21" s="132" t="s">
        <v>276</v>
      </c>
      <c r="L21" s="102"/>
      <c r="M21" s="81"/>
      <c r="N21" s="81"/>
      <c r="O21" s="50"/>
      <c r="P21" s="81"/>
      <c r="Q21" s="15">
        <f>AG14</f>
        <v>12</v>
      </c>
      <c r="R21" s="251"/>
      <c r="S21" s="80"/>
      <c r="T21" s="138"/>
      <c r="U21" s="132" t="s">
        <v>277</v>
      </c>
      <c r="V21" s="134"/>
      <c r="W21" s="110"/>
      <c r="X21" s="110"/>
      <c r="Y21" s="110"/>
      <c r="Z21" s="110"/>
      <c r="AA21" s="110"/>
      <c r="AB21" s="380" t="str">
        <f>VLOOKUP(AE21,'пр.взв.'!B$7:H$134,2,FALSE)</f>
        <v>КУЧУМОВ Александр Николаевич</v>
      </c>
      <c r="AC21" s="380" t="str">
        <f>VLOOKUP(AE21,'пр.взв.'!B$7:H$134,3,FALSE)</f>
        <v>06.11.90, мсмк</v>
      </c>
      <c r="AD21" s="380" t="str">
        <f>VLOOKUP(AE21,'пр.взв.'!B$7:H$134,4,FALSE)</f>
        <v>МОС</v>
      </c>
      <c r="AE21" s="361">
        <v>6</v>
      </c>
      <c r="AH21" s="172" t="str">
        <f>IF(OR(K$53=A46,K$53=A48)," ",IF(E47=A46,A48,A46))</f>
        <v> </v>
      </c>
      <c r="AI21" s="174">
        <f>IF(OR(AH18=" ",AH19=" ",AH20=" ",AH21=" "),AH22,AH21)</f>
        <v>59</v>
      </c>
      <c r="AJ21" s="172">
        <f>IF(OR(K$53=E55,K$53=E59)," ",IF(G57=E55,E59,E55))</f>
        <v>23</v>
      </c>
      <c r="AK21" s="174">
        <f>IF(OR(AJ18=" ",AJ19=" ",AJ20=" ",AJ21=" "),AJ22,AJ21)</f>
        <v>31</v>
      </c>
      <c r="AM21" s="171">
        <f>IF(P61=O59,O62,O59)</f>
        <v>10</v>
      </c>
    </row>
    <row r="22" spans="1:39" ht="12" customHeight="1" thickBot="1">
      <c r="A22" s="382"/>
      <c r="B22" s="384"/>
      <c r="C22" s="384"/>
      <c r="D22" s="384"/>
      <c r="E22" s="130">
        <v>5</v>
      </c>
      <c r="F22" s="142"/>
      <c r="G22" s="143"/>
      <c r="H22" s="144"/>
      <c r="I22" s="154"/>
      <c r="J22" s="149"/>
      <c r="K22" s="158"/>
      <c r="L22" s="102"/>
      <c r="M22" s="81"/>
      <c r="N22" s="108"/>
      <c r="O22" s="234"/>
      <c r="P22" s="108"/>
      <c r="Q22" s="234"/>
      <c r="R22" s="137"/>
      <c r="S22" s="80"/>
      <c r="T22" s="138"/>
      <c r="U22" s="252"/>
      <c r="V22" s="134"/>
      <c r="W22" s="110"/>
      <c r="X22" s="110"/>
      <c r="Y22" s="110"/>
      <c r="Z22" s="110"/>
      <c r="AA22" s="130">
        <v>6</v>
      </c>
      <c r="AB22" s="381"/>
      <c r="AC22" s="381"/>
      <c r="AD22" s="381"/>
      <c r="AE22" s="359"/>
      <c r="AH22" s="172">
        <f>IF(OR(K$53=A50,K$53=A52)," ",IF(E51=A50,A52,A50))</f>
        <v>59</v>
      </c>
      <c r="AI22" s="174">
        <f>IF(OR(AH18=" ",AH19=" ",AH20=" ",AH21=" ",AH22=" "),AH23,AH22)</f>
        <v>39</v>
      </c>
      <c r="AJ22" s="172">
        <f>IF(OR(K$53=E63,K$53=E67)," ",IF(G65=E63,E67,E63))</f>
        <v>31</v>
      </c>
      <c r="AM22" s="171">
        <f>IF(P19=O17,O20,O17)</f>
        <v>3</v>
      </c>
    </row>
    <row r="23" spans="1:39" ht="12" customHeight="1" thickBot="1">
      <c r="A23" s="382">
        <v>37</v>
      </c>
      <c r="B23" s="379" t="e">
        <f>VLOOKUP(A23,'пр.взв.'!B$7:C$134,2,FALSE)</f>
        <v>#N/A</v>
      </c>
      <c r="C23" s="379" t="e">
        <f>VLOOKUP(A23,'пр.взв.'!B$7:H$134,3,FALSE)</f>
        <v>#N/A</v>
      </c>
      <c r="D23" s="379" t="e">
        <f>VLOOKUP(A23,'пр.взв.'!B$7:F$134,4,FALSE)</f>
        <v>#N/A</v>
      </c>
      <c r="E23" s="132"/>
      <c r="F23" s="146"/>
      <c r="G23" s="142"/>
      <c r="H23" s="147"/>
      <c r="I23" s="149"/>
      <c r="J23" s="154"/>
      <c r="K23" s="138"/>
      <c r="L23" s="102"/>
      <c r="M23" s="80"/>
      <c r="N23" s="108"/>
      <c r="O23" s="234"/>
      <c r="P23" s="108"/>
      <c r="Q23" s="234"/>
      <c r="R23" s="108"/>
      <c r="S23" s="80"/>
      <c r="T23" s="138"/>
      <c r="U23" s="252"/>
      <c r="V23" s="134"/>
      <c r="W23" s="110"/>
      <c r="X23" s="110"/>
      <c r="Y23" s="110"/>
      <c r="Z23" s="131"/>
      <c r="AA23" s="132"/>
      <c r="AB23" s="378" t="e">
        <f>VLOOKUP(AE23,'пр.взв.'!B$7:H$134,2,FALSE)</f>
        <v>#N/A</v>
      </c>
      <c r="AC23" s="378" t="e">
        <f>VLOOKUP(AE23,'пр.взв.'!B$7:H$134,3,FALSE)</f>
        <v>#N/A</v>
      </c>
      <c r="AD23" s="378" t="e">
        <f>VLOOKUP(AE23,'пр.взв.'!B$7:H$134,4,FALSE)</f>
        <v>#N/A</v>
      </c>
      <c r="AE23" s="359">
        <v>38</v>
      </c>
      <c r="AH23" s="172">
        <f>IF(OR(K$53=A54,K$53=A56)," ",IF(E55=A54,A56,A54))</f>
        <v>39</v>
      </c>
      <c r="AI23" s="174">
        <f>IF(OR(AH18=" ",AH19=" ",AH20=" ",AH21=" ",AH22=" ",AH23=" "),AH24,AH23)</f>
        <v>55</v>
      </c>
      <c r="AJ23" s="175"/>
      <c r="AM23" s="171">
        <f>IF(P68=O66,O69,O66)</f>
        <v>24</v>
      </c>
    </row>
    <row r="24" spans="1:39" ht="12" customHeight="1" thickBot="1">
      <c r="A24" s="383"/>
      <c r="B24" s="400"/>
      <c r="C24" s="400"/>
      <c r="D24" s="400"/>
      <c r="E24" s="142"/>
      <c r="F24" s="148"/>
      <c r="G24" s="130">
        <v>5</v>
      </c>
      <c r="H24" s="149"/>
      <c r="I24" s="154"/>
      <c r="J24" s="149"/>
      <c r="K24" s="138"/>
      <c r="L24" s="80"/>
      <c r="M24" s="57"/>
      <c r="N24" s="108"/>
      <c r="O24" s="136"/>
      <c r="P24" s="136"/>
      <c r="Q24" s="136"/>
      <c r="R24" s="136"/>
      <c r="S24" s="83"/>
      <c r="T24" s="138"/>
      <c r="U24" s="136"/>
      <c r="V24" s="134"/>
      <c r="W24" s="110"/>
      <c r="X24" s="110"/>
      <c r="Y24" s="130">
        <v>6</v>
      </c>
      <c r="Z24" s="134"/>
      <c r="AA24" s="110"/>
      <c r="AB24" s="379"/>
      <c r="AC24" s="379"/>
      <c r="AD24" s="379"/>
      <c r="AE24" s="360"/>
      <c r="AH24" s="172">
        <f>IF(OR(K$53=A58,K$53=A60)," ",IF(E59=A58,A60,A58))</f>
        <v>55</v>
      </c>
      <c r="AI24" s="174">
        <f>IF(OR(AH18=" ",AH19=" ",AH20=" ",AH21=" ",AH22=" ",AH23=" ",AH24=" "),AH25,AH24)</f>
        <v>47</v>
      </c>
      <c r="AJ24" s="175"/>
      <c r="AM24" s="173" t="s">
        <v>71</v>
      </c>
    </row>
    <row r="25" spans="1:39" ht="12" customHeight="1" thickBot="1">
      <c r="A25" s="386">
        <v>21</v>
      </c>
      <c r="B25" s="385" t="str">
        <f>VLOOKUP(A25,'пр.взв.'!B$7:C$134,2,FALSE)</f>
        <v>ЛУКЬЯНОВ Святослав Сергеевич</v>
      </c>
      <c r="C25" s="385" t="str">
        <f>VLOOKUP(A25,'пр.взв.'!B$7:H$134,3,FALSE)</f>
        <v>26.04.91 мс</v>
      </c>
      <c r="D25" s="385" t="str">
        <f>VLOOKUP(A25,'пр.взв.'!B$7:F$134,4,FALSE)</f>
        <v>КФО</v>
      </c>
      <c r="E25" s="122"/>
      <c r="F25" s="142"/>
      <c r="G25" s="132" t="s">
        <v>277</v>
      </c>
      <c r="H25" s="159"/>
      <c r="I25" s="149"/>
      <c r="J25" s="149"/>
      <c r="K25" s="158"/>
      <c r="L25" s="80"/>
      <c r="M25" s="57"/>
      <c r="N25" s="136"/>
      <c r="O25" s="154"/>
      <c r="P25" s="149"/>
      <c r="Q25" s="149"/>
      <c r="R25" s="137"/>
      <c r="S25" s="80"/>
      <c r="T25" s="138"/>
      <c r="U25" s="136"/>
      <c r="V25" s="134"/>
      <c r="W25" s="110"/>
      <c r="X25" s="131"/>
      <c r="Y25" s="132" t="s">
        <v>276</v>
      </c>
      <c r="Z25" s="134"/>
      <c r="AA25" s="110"/>
      <c r="AB25" s="380" t="str">
        <f>VLOOKUP(AE25,'пр.взв.'!B$7:H$134,2,FALSE)</f>
        <v>ГЛАДКОВ Алексей Иванович</v>
      </c>
      <c r="AC25" s="380" t="str">
        <f>VLOOKUP(AE25,'пр.взв.'!B$7:H$134,3,FALSE)</f>
        <v>24.11.85, МС</v>
      </c>
      <c r="AD25" s="380" t="str">
        <f>VLOOKUP(AE25,'пр.взв.'!B$7:H$134,4,FALSE)</f>
        <v>СПБ</v>
      </c>
      <c r="AE25" s="361">
        <v>22</v>
      </c>
      <c r="AH25" s="172">
        <f>IF(OR(K$53=A62,K$53=A64)," ",IF(E63=A62,A64,A62))</f>
        <v>47</v>
      </c>
      <c r="AI25" s="174">
        <f>IF(OR(AH18=" ",AH19=" ",AH20=" ",AH21=" ",AH22=" ",AH23=" ",AH24=" ",AH25=" "),AH26,AH25)</f>
        <v>63</v>
      </c>
      <c r="AJ25" s="175"/>
      <c r="AM25" s="171">
        <f>IF('пр.хода'!Q15='пр.хода'!P12,'пр.хода'!P19,'пр.хода'!P12)</f>
        <v>15</v>
      </c>
    </row>
    <row r="26" spans="1:39" ht="12" customHeight="1" thickBot="1">
      <c r="A26" s="382"/>
      <c r="B26" s="384"/>
      <c r="C26" s="384"/>
      <c r="D26" s="384"/>
      <c r="E26" s="130">
        <v>21</v>
      </c>
      <c r="F26" s="151"/>
      <c r="G26" s="142"/>
      <c r="H26" s="160"/>
      <c r="I26" s="149"/>
      <c r="J26" s="149"/>
      <c r="K26" s="138"/>
      <c r="L26" s="80"/>
      <c r="M26" s="57"/>
      <c r="N26" s="136"/>
      <c r="O26" s="136"/>
      <c r="P26" s="125" t="s">
        <v>24</v>
      </c>
      <c r="Q26" s="136"/>
      <c r="R26" s="136"/>
      <c r="S26" s="80"/>
      <c r="T26" s="138"/>
      <c r="U26" s="136"/>
      <c r="V26" s="134"/>
      <c r="W26" s="110"/>
      <c r="X26" s="134"/>
      <c r="Y26" s="110"/>
      <c r="Z26" s="135"/>
      <c r="AA26" s="130">
        <v>22</v>
      </c>
      <c r="AB26" s="381"/>
      <c r="AC26" s="381"/>
      <c r="AD26" s="381"/>
      <c r="AE26" s="359"/>
      <c r="AH26" s="172">
        <f>IF(OR(K$53=A66,K$53=A68)," ",IF(E67=A66,A68,A66))</f>
        <v>63</v>
      </c>
      <c r="AJ26" s="175"/>
      <c r="AM26" s="171">
        <f>IF('пр.хода'!Q64='пр.хода'!P61,'пр.хода'!P68,'пр.хода'!P61)</f>
        <v>4</v>
      </c>
    </row>
    <row r="27" spans="1:39" ht="12" customHeight="1" thickBot="1">
      <c r="A27" s="382">
        <v>53</v>
      </c>
      <c r="B27" s="379" t="e">
        <f>VLOOKUP(A27,'пр.взв.'!B$7:C$134,2,FALSE)</f>
        <v>#N/A</v>
      </c>
      <c r="C27" s="379" t="e">
        <f>VLOOKUP(A27,'пр.взв.'!B$7:H$134,3,FALSE)</f>
        <v>#N/A</v>
      </c>
      <c r="D27" s="379" t="e">
        <f>VLOOKUP(A27,'пр.взв.'!B$7:F$134,4,FALSE)</f>
        <v>#N/A</v>
      </c>
      <c r="E27" s="132"/>
      <c r="F27" s="142"/>
      <c r="G27" s="142"/>
      <c r="H27" s="156"/>
      <c r="I27" s="149"/>
      <c r="J27" s="154"/>
      <c r="K27" s="138"/>
      <c r="L27" s="80"/>
      <c r="M27" s="57"/>
      <c r="N27" s="394" t="str">
        <f>VLOOKUP(R18,'пр.взв.'!B7:D134,2,FALSE)</f>
        <v>АБУЛАДЗЕ Паата Венорович</v>
      </c>
      <c r="O27" s="395"/>
      <c r="P27" s="395"/>
      <c r="Q27" s="395"/>
      <c r="R27" s="396"/>
      <c r="S27" s="80"/>
      <c r="T27" s="138"/>
      <c r="U27" s="136"/>
      <c r="V27" s="134"/>
      <c r="W27" s="110"/>
      <c r="X27" s="134"/>
      <c r="Y27" s="110"/>
      <c r="Z27" s="110"/>
      <c r="AA27" s="132"/>
      <c r="AB27" s="378" t="e">
        <f>VLOOKUP(AE27,'пр.взв.'!B$7:H$134,2,FALSE)</f>
        <v>#N/A</v>
      </c>
      <c r="AC27" s="378" t="e">
        <f>VLOOKUP(AE27,'пр.взв.'!B$7:H$134,3,FALSE)</f>
        <v>#N/A</v>
      </c>
      <c r="AD27" s="378" t="e">
        <f>VLOOKUP(AE27,'пр.взв.'!B$7:H$134,4,FALSE)</f>
        <v>#N/A</v>
      </c>
      <c r="AE27" s="359">
        <v>54</v>
      </c>
      <c r="AH27" s="175"/>
      <c r="AI27" s="173" t="s">
        <v>68</v>
      </c>
      <c r="AJ27" s="175"/>
      <c r="AK27" s="173" t="s">
        <v>68</v>
      </c>
      <c r="AL27" s="173" t="s">
        <v>68</v>
      </c>
      <c r="AM27" s="173" t="s">
        <v>71</v>
      </c>
    </row>
    <row r="28" spans="1:39" ht="12" customHeight="1" thickBot="1">
      <c r="A28" s="383"/>
      <c r="B28" s="400"/>
      <c r="C28" s="400"/>
      <c r="D28" s="400"/>
      <c r="E28" s="142"/>
      <c r="F28" s="142"/>
      <c r="G28" s="148"/>
      <c r="H28" s="152"/>
      <c r="I28" s="130">
        <v>29</v>
      </c>
      <c r="J28" s="253"/>
      <c r="K28" s="138"/>
      <c r="L28" s="80"/>
      <c r="M28" s="57"/>
      <c r="N28" s="397"/>
      <c r="O28" s="398"/>
      <c r="P28" s="398"/>
      <c r="Q28" s="398"/>
      <c r="R28" s="399"/>
      <c r="S28" s="80"/>
      <c r="T28" s="138"/>
      <c r="U28" s="136"/>
      <c r="V28" s="135"/>
      <c r="W28" s="139">
        <v>6</v>
      </c>
      <c r="X28" s="134"/>
      <c r="Y28" s="110"/>
      <c r="Z28" s="110"/>
      <c r="AA28" s="110"/>
      <c r="AB28" s="379"/>
      <c r="AC28" s="379"/>
      <c r="AD28" s="379"/>
      <c r="AE28" s="360"/>
      <c r="AH28" s="172">
        <f>IF(OR(U$20=AE5,U$20=AE7)," ",IF(AA6=AE5,AE7,AE5))</f>
        <v>34</v>
      </c>
      <c r="AI28" s="174">
        <f>IF(AH28=" ",AH29,AH28)</f>
        <v>34</v>
      </c>
      <c r="AJ28" s="172">
        <f>IF(OR(U$20=AA6,U$20=AA10)," ",IF(Y8=AA6,AA10,AA6))</f>
        <v>2</v>
      </c>
      <c r="AK28" s="174">
        <f>IF(AJ28=" ",AJ29,AJ28)</f>
        <v>2</v>
      </c>
      <c r="AM28" s="171">
        <f>IF('пр.хода'!R18='пр.хода'!Q15,'пр.хода'!Q21,'пр.хода'!Q15)</f>
        <v>5</v>
      </c>
    </row>
    <row r="29" spans="1:39" ht="12" customHeight="1" thickBot="1">
      <c r="A29" s="386">
        <v>13</v>
      </c>
      <c r="B29" s="385" t="str">
        <f>VLOOKUP(A29,'пр.взв.'!B$7:C$134,2,FALSE)</f>
        <v>КОМЛЕВ Роман Олегович</v>
      </c>
      <c r="C29" s="385" t="str">
        <f>VLOOKUP(A29,'пр.взв.'!B$7:H$134,3,FALSE)</f>
        <v>15.09.89, МС</v>
      </c>
      <c r="D29" s="385" t="str">
        <f>VLOOKUP(A29,'пр.взв.'!B$7:F$134,4,FALSE)</f>
        <v>СФО</v>
      </c>
      <c r="E29" s="122"/>
      <c r="F29" s="122"/>
      <c r="G29" s="142"/>
      <c r="H29" s="154"/>
      <c r="I29" s="132" t="s">
        <v>278</v>
      </c>
      <c r="J29" s="149"/>
      <c r="K29" s="136"/>
      <c r="L29" s="80"/>
      <c r="M29" s="57"/>
      <c r="N29" s="149"/>
      <c r="O29" s="136"/>
      <c r="P29" s="149"/>
      <c r="Q29" s="149"/>
      <c r="R29" s="137"/>
      <c r="S29" s="80"/>
      <c r="T29" s="138"/>
      <c r="U29" s="136"/>
      <c r="V29" s="110"/>
      <c r="W29" s="140" t="s">
        <v>276</v>
      </c>
      <c r="X29" s="134"/>
      <c r="Y29" s="110"/>
      <c r="Z29" s="110"/>
      <c r="AA29" s="110"/>
      <c r="AB29" s="380" t="str">
        <f>VLOOKUP(AE29,'пр.взв.'!B$7:H$134,2,FALSE)</f>
        <v>КУНДУКОВ Роман Николаевич</v>
      </c>
      <c r="AC29" s="380" t="str">
        <f>VLOOKUP(AE29,'пр.взв.'!B$7:H$134,3,FALSE)</f>
        <v>11.11.93, кмс</v>
      </c>
      <c r="AD29" s="380" t="str">
        <f>VLOOKUP(AE29,'пр.взв.'!B$7:H$134,4,FALSE)</f>
        <v>СЗФО</v>
      </c>
      <c r="AE29" s="361">
        <v>14</v>
      </c>
      <c r="AH29" s="172">
        <f>IF(OR(U$20=AE9,U$20=AE11)," ",IF(AA10=AE9,AE11,AE9))</f>
        <v>50</v>
      </c>
      <c r="AI29" s="174">
        <f>IF(OR(AH28=" ",AH29=" "),AH30,AH29)</f>
        <v>50</v>
      </c>
      <c r="AJ29" s="172" t="str">
        <f>IF(OR(U$20=AA14,U$20=AA18)," ",IF(Y16=AA14,AA18,AA14))</f>
        <v> </v>
      </c>
      <c r="AK29" s="174">
        <f>IF(OR(AJ28=" ",AJ29=" "),AJ30,AJ29)</f>
        <v>22</v>
      </c>
      <c r="AL29" s="171">
        <f>IF(AND(OR(U20=Y8,U20=Y16),W28=Y24),Y32,IF(AND(OR(U20=Y8,U20=Y16),W28=Y32),Y24,IF(W12=Y8,Y16,Y8)))</f>
        <v>14</v>
      </c>
      <c r="AM29" s="171">
        <f>IF('пр.хода'!R67='пр.хода'!Q64,'пр.хода'!Q69,'пр.хода'!Q64)</f>
        <v>11</v>
      </c>
    </row>
    <row r="30" spans="1:37" ht="12" customHeight="1" thickBot="1">
      <c r="A30" s="382"/>
      <c r="B30" s="384"/>
      <c r="C30" s="384"/>
      <c r="D30" s="384"/>
      <c r="E30" s="130">
        <v>13</v>
      </c>
      <c r="F30" s="142"/>
      <c r="G30" s="142"/>
      <c r="H30" s="155"/>
      <c r="I30" s="136"/>
      <c r="J30" s="108"/>
      <c r="K30" s="108"/>
      <c r="L30" s="80"/>
      <c r="M30" s="57"/>
      <c r="N30" s="136"/>
      <c r="O30" s="108"/>
      <c r="P30" s="154"/>
      <c r="Q30" s="149"/>
      <c r="R30" s="137"/>
      <c r="S30" s="80"/>
      <c r="T30" s="138"/>
      <c r="U30" s="136"/>
      <c r="V30" s="110"/>
      <c r="W30" s="110"/>
      <c r="X30" s="134"/>
      <c r="Y30" s="110"/>
      <c r="Z30" s="110"/>
      <c r="AA30" s="130">
        <v>14</v>
      </c>
      <c r="AB30" s="381"/>
      <c r="AC30" s="381"/>
      <c r="AD30" s="381"/>
      <c r="AE30" s="359"/>
      <c r="AH30" s="172">
        <f>IF(OR(U$20=AE13,U$20=AE15)," ",IF(AA14=AE13,AE15,AE13))</f>
        <v>42</v>
      </c>
      <c r="AI30" s="174">
        <f>IF(OR(AH28=" ",AH29=" ",AH30=" "),AH31,AH30)</f>
        <v>42</v>
      </c>
      <c r="AJ30" s="172">
        <f>IF(OR(U$20=AA22,U$20=AA26)," ",IF(Y24=AA22,AA26,AA22))</f>
        <v>22</v>
      </c>
      <c r="AK30" s="174">
        <f>IF(OR(AJ28=" ",AJ29=" ",AJ30=" "),AJ31,AJ30)</f>
        <v>30</v>
      </c>
    </row>
    <row r="31" spans="1:36" ht="12" customHeight="1" thickBot="1">
      <c r="A31" s="382">
        <v>45</v>
      </c>
      <c r="B31" s="379" t="e">
        <f>VLOOKUP(A31,'пр.взв.'!B$7:C$134,2,FALSE)</f>
        <v>#N/A</v>
      </c>
      <c r="C31" s="379" t="e">
        <f>VLOOKUP(A31,'пр.взв.'!B$7:H$134,3,FALSE)</f>
        <v>#N/A</v>
      </c>
      <c r="D31" s="379" t="e">
        <f>VLOOKUP(A31,'пр.взв.'!B$7:F$134,4,FALSE)</f>
        <v>#N/A</v>
      </c>
      <c r="E31" s="132"/>
      <c r="F31" s="146"/>
      <c r="G31" s="142"/>
      <c r="H31" s="156"/>
      <c r="I31" s="136"/>
      <c r="J31" s="108"/>
      <c r="K31" s="108"/>
      <c r="L31" s="80"/>
      <c r="M31" s="57"/>
      <c r="N31" s="136"/>
      <c r="O31" s="136"/>
      <c r="P31" s="125" t="s">
        <v>27</v>
      </c>
      <c r="Q31" s="108"/>
      <c r="R31" s="108"/>
      <c r="S31" s="80"/>
      <c r="T31" s="138"/>
      <c r="U31" s="136"/>
      <c r="V31" s="110"/>
      <c r="W31" s="110"/>
      <c r="X31" s="134"/>
      <c r="Y31" s="110"/>
      <c r="Z31" s="131"/>
      <c r="AA31" s="132"/>
      <c r="AB31" s="378" t="e">
        <f>VLOOKUP(AE31,'пр.взв.'!B$7:H$134,2,FALSE)</f>
        <v>#N/A</v>
      </c>
      <c r="AC31" s="378" t="e">
        <f>VLOOKUP(AE31,'пр.взв.'!B$7:H$134,3,FALSE)</f>
        <v>#N/A</v>
      </c>
      <c r="AD31" s="378" t="e">
        <f>VLOOKUP(AE31,'пр.взв.'!B$7:H$134,4,FALSE)</f>
        <v>#N/A</v>
      </c>
      <c r="AE31" s="359">
        <v>46</v>
      </c>
      <c r="AH31" s="172" t="str">
        <f>IF(OR(U$20=AE17,U$20=AE19)," ",IF(AA18=AE17,AE19,AE17))</f>
        <v> </v>
      </c>
      <c r="AI31" s="174">
        <f>IF(OR(AH28=" ",AH29=" ",AH30=" ",AH31=" "),AH32,AH31)</f>
        <v>38</v>
      </c>
      <c r="AJ31" s="172">
        <f>IF(OR(U$20=AA30,U$20=AA34)," ",IF(Y32=AA30,AA34,AA30))</f>
        <v>30</v>
      </c>
    </row>
    <row r="32" spans="1:36" ht="12" customHeight="1" thickBot="1">
      <c r="A32" s="383"/>
      <c r="B32" s="400"/>
      <c r="C32" s="400"/>
      <c r="D32" s="400"/>
      <c r="E32" s="142"/>
      <c r="F32" s="148"/>
      <c r="G32" s="130">
        <v>29</v>
      </c>
      <c r="H32" s="157"/>
      <c r="I32" s="136"/>
      <c r="J32" s="108"/>
      <c r="K32" s="108"/>
      <c r="L32" s="80"/>
      <c r="M32" s="168">
        <v>29</v>
      </c>
      <c r="N32" s="136">
        <v>1</v>
      </c>
      <c r="O32" s="136"/>
      <c r="P32" s="108"/>
      <c r="Q32" s="108"/>
      <c r="R32" s="108"/>
      <c r="S32" s="80"/>
      <c r="T32" s="138"/>
      <c r="U32" s="136"/>
      <c r="V32" s="110"/>
      <c r="W32" s="110"/>
      <c r="X32" s="135"/>
      <c r="Y32" s="130">
        <v>14</v>
      </c>
      <c r="Z32" s="134"/>
      <c r="AA32" s="110"/>
      <c r="AB32" s="379"/>
      <c r="AC32" s="379"/>
      <c r="AD32" s="379"/>
      <c r="AE32" s="360"/>
      <c r="AH32" s="172">
        <f>IF(OR(U$20=AE21,U$20=AE23)," ",IF(AA22=AE21,AE23,AE21))</f>
        <v>38</v>
      </c>
      <c r="AI32" s="174">
        <f>IF(OR(AH28=" ",AH29=" ",AH30=" ",AH31=" ",AH32=" "),AH33,AH32)</f>
        <v>54</v>
      </c>
      <c r="AJ32" s="175"/>
    </row>
    <row r="33" spans="1:36" ht="12" customHeight="1" thickBot="1">
      <c r="A33" s="386">
        <v>29</v>
      </c>
      <c r="B33" s="385" t="str">
        <f>VLOOKUP(A33,'пр.взв.'!B$7:C$134,2,FALSE)</f>
        <v>ОСИПЕНКО Артем Иванович</v>
      </c>
      <c r="C33" s="385" t="str">
        <f>VLOOKUP(A33,'пр.взв.'!B$7:H$134,3,FALSE)</f>
        <v>27.05.88 змс</v>
      </c>
      <c r="D33" s="385" t="str">
        <f>VLOOKUP(A33,'пр.взв.'!B$7:F$134,4,FALSE)</f>
        <v>ЦФО</v>
      </c>
      <c r="E33" s="122"/>
      <c r="F33" s="142"/>
      <c r="G33" s="132" t="s">
        <v>276</v>
      </c>
      <c r="H33" s="147"/>
      <c r="I33" s="136"/>
      <c r="J33" s="108"/>
      <c r="K33" s="108"/>
      <c r="L33" s="80"/>
      <c r="M33" s="57"/>
      <c r="N33" s="388" t="str">
        <f>VLOOKUP(M32,'пр.взв.'!B7:H134,2,FALSE)</f>
        <v>ОСИПЕНКО Артем Иванович</v>
      </c>
      <c r="O33" s="389"/>
      <c r="P33" s="389"/>
      <c r="Q33" s="389"/>
      <c r="R33" s="390"/>
      <c r="S33" s="80"/>
      <c r="T33" s="138"/>
      <c r="U33" s="136"/>
      <c r="V33" s="110"/>
      <c r="W33" s="110"/>
      <c r="X33" s="110"/>
      <c r="Y33" s="132" t="s">
        <v>276</v>
      </c>
      <c r="Z33" s="134"/>
      <c r="AA33" s="110"/>
      <c r="AB33" s="380" t="str">
        <f>VLOOKUP(AE33,'пр.взв.'!B$7:H$134,2,FALSE)</f>
        <v>ТАЧКОВ Иван Дмитриевич</v>
      </c>
      <c r="AC33" s="380" t="str">
        <f>VLOOKUP(AE33,'пр.взв.'!B$7:H$134,3,FALSE)</f>
        <v>25.03.97 мс</v>
      </c>
      <c r="AD33" s="380" t="str">
        <f>VLOOKUP(AE33,'пр.взв.'!B$7:H$134,4,FALSE)</f>
        <v>УФО</v>
      </c>
      <c r="AE33" s="361">
        <v>30</v>
      </c>
      <c r="AH33" s="172">
        <f>IF(OR(U$20=AE25,U$20=AE27)," ",IF(AA26=AE25,AE27,AE25))</f>
        <v>54</v>
      </c>
      <c r="AI33" s="174">
        <f>IF(OR(AH28=" ",AH29=" ",AH30=" ",AH31=" ",AH32=" ",AH33=" "),AH34,AH33)</f>
        <v>46</v>
      </c>
      <c r="AJ33" s="175"/>
    </row>
    <row r="34" spans="1:36" ht="12" customHeight="1" thickBot="1">
      <c r="A34" s="382"/>
      <c r="B34" s="384"/>
      <c r="C34" s="384"/>
      <c r="D34" s="384"/>
      <c r="E34" s="130">
        <v>29</v>
      </c>
      <c r="F34" s="151"/>
      <c r="G34" s="142"/>
      <c r="H34" s="144"/>
      <c r="I34" s="136"/>
      <c r="J34" s="108"/>
      <c r="K34" s="108"/>
      <c r="L34" s="80"/>
      <c r="M34" s="57"/>
      <c r="N34" s="391"/>
      <c r="O34" s="392"/>
      <c r="P34" s="392"/>
      <c r="Q34" s="392"/>
      <c r="R34" s="393"/>
      <c r="S34" s="80"/>
      <c r="T34" s="138"/>
      <c r="U34" s="108"/>
      <c r="V34" s="110"/>
      <c r="W34" s="110"/>
      <c r="X34" s="110"/>
      <c r="Y34" s="110"/>
      <c r="Z34" s="135"/>
      <c r="AA34" s="130">
        <v>30</v>
      </c>
      <c r="AB34" s="381"/>
      <c r="AC34" s="381"/>
      <c r="AD34" s="381"/>
      <c r="AE34" s="359"/>
      <c r="AH34" s="172">
        <f>IF(OR(U$20=AE29,U$20=AE31)," ",IF(AA30=AE29,AE31,AE29))</f>
        <v>46</v>
      </c>
      <c r="AI34" s="174">
        <f>IF(OR(AH28=" ",AH29=" ",AH30=" ",AH31=" ",AH32=" ",AH33=" ",AH34=" "),AH35,AH34)</f>
        <v>62</v>
      </c>
      <c r="AJ34" s="175"/>
    </row>
    <row r="35" spans="1:36" ht="12" customHeight="1" thickBot="1">
      <c r="A35" s="382">
        <v>61</v>
      </c>
      <c r="B35" s="379" t="e">
        <f>VLOOKUP(A35,'пр.взв.'!B$7:C$134,2,FALSE)</f>
        <v>#N/A</v>
      </c>
      <c r="C35" s="379" t="e">
        <f>VLOOKUP(A35,'пр.взв.'!B$7:H$134,3,FALSE)</f>
        <v>#N/A</v>
      </c>
      <c r="D35" s="379" t="e">
        <f>VLOOKUP(A35,'пр.взв.'!B$7:F$134,4,FALSE)</f>
        <v>#N/A</v>
      </c>
      <c r="E35" s="132"/>
      <c r="F35" s="142"/>
      <c r="G35" s="142"/>
      <c r="H35" s="147"/>
      <c r="I35" s="136"/>
      <c r="J35" s="108"/>
      <c r="K35" s="108"/>
      <c r="L35" s="80"/>
      <c r="M35" s="57"/>
      <c r="N35" s="136"/>
      <c r="O35" s="136"/>
      <c r="P35" s="254"/>
      <c r="Q35" s="108"/>
      <c r="R35" s="108"/>
      <c r="S35" s="81"/>
      <c r="T35" s="138"/>
      <c r="U35" s="108"/>
      <c r="V35" s="110"/>
      <c r="W35" s="110"/>
      <c r="X35" s="110"/>
      <c r="Y35" s="110"/>
      <c r="Z35" s="110"/>
      <c r="AA35" s="132"/>
      <c r="AB35" s="378" t="e">
        <f>VLOOKUP(AE35,'пр.взв.'!B$7:H$134,2,FALSE)</f>
        <v>#N/A</v>
      </c>
      <c r="AC35" s="378" t="e">
        <f>VLOOKUP(AE35,'пр.взв.'!B$7:H$134,3,FALSE)</f>
        <v>#N/A</v>
      </c>
      <c r="AD35" s="378" t="e">
        <f>VLOOKUP(AE35,'пр.взв.'!B$7:H$134,4,FALSE)</f>
        <v>#N/A</v>
      </c>
      <c r="AE35" s="359">
        <v>62</v>
      </c>
      <c r="AH35" s="172">
        <f>IF(OR(U$20=AE33,U$20=AE35)," ",IF(AA34=AE33,AE35,AE33))</f>
        <v>62</v>
      </c>
      <c r="AJ35" s="175"/>
    </row>
    <row r="36" spans="1:38" ht="12" customHeight="1" thickBot="1">
      <c r="A36" s="383"/>
      <c r="B36" s="401"/>
      <c r="C36" s="401"/>
      <c r="D36" s="401"/>
      <c r="E36" s="142"/>
      <c r="F36" s="142"/>
      <c r="G36" s="142"/>
      <c r="H36" s="144"/>
      <c r="I36" s="136"/>
      <c r="J36" s="108"/>
      <c r="K36" s="108"/>
      <c r="L36" s="80"/>
      <c r="M36" s="164">
        <v>29</v>
      </c>
      <c r="N36" s="136"/>
      <c r="O36" s="136"/>
      <c r="P36" s="108"/>
      <c r="Q36" s="108"/>
      <c r="R36" s="108"/>
      <c r="S36" s="167">
        <v>26</v>
      </c>
      <c r="T36" s="138"/>
      <c r="U36" s="108"/>
      <c r="V36" s="110"/>
      <c r="W36" s="110"/>
      <c r="X36" s="110"/>
      <c r="Y36" s="110"/>
      <c r="Z36" s="110"/>
      <c r="AA36" s="110"/>
      <c r="AB36" s="379"/>
      <c r="AC36" s="379"/>
      <c r="AD36" s="379"/>
      <c r="AE36" s="360"/>
      <c r="AH36" s="175"/>
      <c r="AI36" s="173" t="s">
        <v>67</v>
      </c>
      <c r="AJ36" s="175"/>
      <c r="AK36" s="173" t="s">
        <v>67</v>
      </c>
      <c r="AL36" s="173" t="s">
        <v>67</v>
      </c>
    </row>
    <row r="37" spans="1:36" ht="3" customHeight="1" thickBot="1">
      <c r="A37" s="123"/>
      <c r="B37" s="121"/>
      <c r="C37" s="121"/>
      <c r="D37" s="122"/>
      <c r="E37" s="142"/>
      <c r="F37" s="142"/>
      <c r="G37" s="142"/>
      <c r="H37" s="136"/>
      <c r="I37" s="149"/>
      <c r="J37" s="108"/>
      <c r="K37" s="108"/>
      <c r="L37" s="80"/>
      <c r="M37" s="165"/>
      <c r="N37" s="136"/>
      <c r="O37" s="136"/>
      <c r="P37" s="108"/>
      <c r="Q37" s="108"/>
      <c r="R37" s="108"/>
      <c r="S37" s="165"/>
      <c r="T37" s="138"/>
      <c r="U37" s="108"/>
      <c r="V37" s="110"/>
      <c r="W37" s="110"/>
      <c r="X37" s="110"/>
      <c r="Y37" s="110"/>
      <c r="Z37" s="110"/>
      <c r="AA37" s="110"/>
      <c r="AB37" s="121"/>
      <c r="AC37" s="121"/>
      <c r="AD37" s="122"/>
      <c r="AE37" s="123"/>
      <c r="AH37" s="175">
        <f>IF(OR(U$20=AE32,U$20=AE34)," ",IF(AA33=AE32,AE34,AE32))</f>
        <v>0</v>
      </c>
      <c r="AJ37" s="175"/>
    </row>
    <row r="38" spans="1:37" ht="12" customHeight="1" thickBot="1">
      <c r="A38" s="386">
        <v>3</v>
      </c>
      <c r="B38" s="385" t="str">
        <f>VLOOKUP(A38,'пр.взв.'!B7:H134,2,FALSE)</f>
        <v>МГОЕВ Джамал Алиевич</v>
      </c>
      <c r="C38" s="385" t="str">
        <f>VLOOKUP(A38,'пр.взв.'!B7:H134,3,FALSE)</f>
        <v>23.07.95, КМС</v>
      </c>
      <c r="D38" s="385" t="str">
        <f>VLOOKUP(A38,'пр.взв.'!B7:H134,4,FALSE)</f>
        <v>ЮФО</v>
      </c>
      <c r="E38" s="122"/>
      <c r="F38" s="122"/>
      <c r="G38" s="141"/>
      <c r="H38" s="108"/>
      <c r="I38" s="145"/>
      <c r="J38" s="136"/>
      <c r="K38" s="108"/>
      <c r="L38" s="80"/>
      <c r="M38" s="166" t="s">
        <v>278</v>
      </c>
      <c r="N38" s="136"/>
      <c r="O38" s="136"/>
      <c r="P38" s="108"/>
      <c r="Q38" s="108"/>
      <c r="R38" s="108"/>
      <c r="S38" s="166" t="s">
        <v>276</v>
      </c>
      <c r="T38" s="138"/>
      <c r="U38" s="108"/>
      <c r="V38" s="110"/>
      <c r="W38" s="110"/>
      <c r="X38" s="110"/>
      <c r="Y38" s="110"/>
      <c r="Z38" s="110"/>
      <c r="AA38" s="110"/>
      <c r="AB38" s="380" t="str">
        <f>VLOOKUP(AE38,'пр.взв.'!B$7:H$134,2,FALSE)</f>
        <v>ШИРЯЕВ Максим Сергеевич</v>
      </c>
      <c r="AC38" s="380" t="str">
        <f>VLOOKUP(AE38,'пр.взв.'!B$7:H$134,3,FALSE)</f>
        <v>18.03.88, МСМК</v>
      </c>
      <c r="AD38" s="380" t="str">
        <f>VLOOKUP(AE38,'пр.взв.'!B$7:H$134,4,FALSE)</f>
        <v>МОС</v>
      </c>
      <c r="AE38" s="361">
        <v>4</v>
      </c>
      <c r="AH38" s="172">
        <f>IF(OR(U$53=AE38,U$53=AE40)," ",IF(AA39=AE38,AE40,AE38))</f>
        <v>36</v>
      </c>
      <c r="AI38" s="174">
        <f>IF(AH38=" ",AH39,AH38)</f>
        <v>36</v>
      </c>
      <c r="AJ38" s="172">
        <f>IF(OR(U$53=AA39,U$53=AA43)," ",IF(Y41=AA39,AA43,AA39))</f>
        <v>20</v>
      </c>
      <c r="AK38" s="174">
        <f>IF(AJ38=" ",AJ39,AJ38)</f>
        <v>20</v>
      </c>
    </row>
    <row r="39" spans="1:38" ht="12" customHeight="1" thickBot="1">
      <c r="A39" s="382"/>
      <c r="B39" s="384"/>
      <c r="C39" s="384"/>
      <c r="D39" s="384"/>
      <c r="E39" s="130">
        <v>3</v>
      </c>
      <c r="F39" s="142"/>
      <c r="G39" s="143"/>
      <c r="H39" s="144"/>
      <c r="I39" s="154"/>
      <c r="J39" s="125"/>
      <c r="K39" s="108"/>
      <c r="L39" s="80"/>
      <c r="M39" s="57"/>
      <c r="N39" s="108"/>
      <c r="O39" s="108"/>
      <c r="P39" s="125" t="s">
        <v>64</v>
      </c>
      <c r="Q39" s="108"/>
      <c r="R39" s="108"/>
      <c r="S39" s="81"/>
      <c r="T39" s="138"/>
      <c r="U39" s="108"/>
      <c r="V39" s="110"/>
      <c r="W39" s="110"/>
      <c r="X39" s="110"/>
      <c r="Y39" s="110"/>
      <c r="Z39" s="110"/>
      <c r="AA39" s="130">
        <v>4</v>
      </c>
      <c r="AB39" s="381"/>
      <c r="AC39" s="381"/>
      <c r="AD39" s="381"/>
      <c r="AE39" s="359"/>
      <c r="AH39" s="172">
        <f>IF(OR(U$53=AE42,U$53=AE44)," ",IF(AA43=AE42,AE44,AE42))</f>
        <v>52</v>
      </c>
      <c r="AI39" s="174">
        <f>IF(OR(AH38=" ",AH39=" "),AH40,AH39)</f>
        <v>52</v>
      </c>
      <c r="AJ39" s="172" t="str">
        <f>IF(OR(U$53=AA47,U$53=AA51)," ",IF(Y49=AA47,AA51,AA47))</f>
        <v> </v>
      </c>
      <c r="AK39" s="174">
        <f>IF(OR(AJ38=" ",AJ39=" "),AJ40,AJ39)</f>
        <v>8</v>
      </c>
      <c r="AL39" s="171">
        <f>IF(AND(OR(U53=Y41,U53=Y49),W61=Y57),Y65,IF(AND(OR(U53=Y41,U53=Y49),W61=Y65),Y57,IF(W45=Y41,Y49,Y41)))</f>
        <v>32</v>
      </c>
    </row>
    <row r="40" spans="1:43" ht="12" customHeight="1" thickBot="1">
      <c r="A40" s="382">
        <v>35</v>
      </c>
      <c r="B40" s="379" t="e">
        <f>VLOOKUP(A40,'пр.взв.'!B9:H136,2,FALSE)</f>
        <v>#N/A</v>
      </c>
      <c r="C40" s="379" t="e">
        <f>VLOOKUP(A40,'пр.взв.'!B9:H136,3,FALSE)</f>
        <v>#N/A</v>
      </c>
      <c r="D40" s="379" t="e">
        <f>VLOOKUP(A40,'пр.взв.'!B9:H136,4,FALSE)</f>
        <v>#N/A</v>
      </c>
      <c r="E40" s="132"/>
      <c r="F40" s="146"/>
      <c r="G40" s="142"/>
      <c r="H40" s="147"/>
      <c r="I40" s="149"/>
      <c r="J40" s="136"/>
      <c r="K40" s="108"/>
      <c r="L40" s="80"/>
      <c r="M40" s="168">
        <v>26</v>
      </c>
      <c r="N40" s="136"/>
      <c r="O40" s="136"/>
      <c r="P40" s="108"/>
      <c r="Q40" s="108"/>
      <c r="R40" s="108"/>
      <c r="S40" s="81"/>
      <c r="T40" s="138"/>
      <c r="U40" s="108"/>
      <c r="V40" s="110"/>
      <c r="W40" s="110"/>
      <c r="X40" s="110"/>
      <c r="Y40" s="110"/>
      <c r="Z40" s="131"/>
      <c r="AA40" s="132"/>
      <c r="AB40" s="378" t="e">
        <f>VLOOKUP(AE40,'пр.взв.'!B$7:H$134,2,FALSE)</f>
        <v>#N/A</v>
      </c>
      <c r="AC40" s="378" t="e">
        <f>VLOOKUP(AE40,'пр.взв.'!B$7:H$134,3,FALSE)</f>
        <v>#N/A</v>
      </c>
      <c r="AD40" s="378" t="e">
        <f>VLOOKUP(AE40,'пр.взв.'!B$7:H$134,4,FALSE)</f>
        <v>#N/A</v>
      </c>
      <c r="AE40" s="359">
        <v>36</v>
      </c>
      <c r="AF40" s="177"/>
      <c r="AG40" s="177"/>
      <c r="AH40" s="172" t="str">
        <f>IF(OR(U$53=AE46,U$53=AE48)," ",IF(AA47=AE46,AE48,AE46))</f>
        <v> </v>
      </c>
      <c r="AI40" s="174">
        <f>IF(OR(AH38=" ",AH39=" ",AH40=" "),AH41,AH40)</f>
        <v>60</v>
      </c>
      <c r="AJ40" s="172">
        <f>IF(OR(U$53=AA55,U$53=AA59)," ",IF(Y57=AA55,AA59,AA55))</f>
        <v>8</v>
      </c>
      <c r="AK40" s="174">
        <f>IF(OR(AJ38=" ",AJ39=" ",AJ40=" "),AJ41,AJ40)</f>
        <v>16</v>
      </c>
      <c r="AL40" s="177"/>
      <c r="AM40" s="177"/>
      <c r="AN40" s="177"/>
      <c r="AO40" s="12"/>
      <c r="AP40" s="12"/>
      <c r="AQ40" s="12"/>
    </row>
    <row r="41" spans="1:43" ht="12" customHeight="1" thickBot="1">
      <c r="A41" s="383"/>
      <c r="B41" s="400"/>
      <c r="C41" s="400"/>
      <c r="D41" s="400"/>
      <c r="E41" s="142"/>
      <c r="F41" s="148"/>
      <c r="G41" s="130">
        <v>3</v>
      </c>
      <c r="H41" s="149"/>
      <c r="I41" s="154"/>
      <c r="J41" s="136"/>
      <c r="K41" s="108"/>
      <c r="L41" s="80"/>
      <c r="M41" s="57"/>
      <c r="N41" s="403" t="str">
        <f>VLOOKUP(M40,'пр.взв.'!B7:H148,2,FALSE)</f>
        <v>АРСЛАНОВ Рустем Разитович</v>
      </c>
      <c r="O41" s="404"/>
      <c r="P41" s="404"/>
      <c r="Q41" s="404"/>
      <c r="R41" s="405"/>
      <c r="S41" s="81"/>
      <c r="T41" s="138"/>
      <c r="U41" s="108"/>
      <c r="V41" s="110"/>
      <c r="W41" s="110"/>
      <c r="X41" s="133"/>
      <c r="Y41" s="130">
        <v>4</v>
      </c>
      <c r="Z41" s="134"/>
      <c r="AA41" s="110"/>
      <c r="AB41" s="379"/>
      <c r="AC41" s="379"/>
      <c r="AD41" s="379"/>
      <c r="AE41" s="360"/>
      <c r="AF41" s="177"/>
      <c r="AG41" s="177"/>
      <c r="AH41" s="172">
        <f>IF(OR(U$53=AE50,U$53=AE52)," ",IF(AA51=AE50,AE52,AE50))</f>
        <v>60</v>
      </c>
      <c r="AI41" s="174">
        <f>IF(OR(AH38=" ",AH39=" ",AH40=" ",AH41=" "),AH42,AH41)</f>
        <v>40</v>
      </c>
      <c r="AJ41" s="172">
        <f>IF(OR(U$53=AA63,U$53=AA67)," ",IF(Y65=AA63,AA67,AA63))</f>
        <v>16</v>
      </c>
      <c r="AK41" s="177"/>
      <c r="AL41" s="177"/>
      <c r="AM41" s="177"/>
      <c r="AN41" s="177"/>
      <c r="AO41" s="12"/>
      <c r="AP41" s="12"/>
      <c r="AQ41" s="12"/>
    </row>
    <row r="42" spans="1:43" ht="12" customHeight="1" thickBot="1">
      <c r="A42" s="386">
        <v>19</v>
      </c>
      <c r="B42" s="385" t="str">
        <f>VLOOKUP(A42,'пр.взв.'!B11:H138,2,FALSE)</f>
        <v>КУЛИКОВ Александр Сергеевич</v>
      </c>
      <c r="C42" s="385" t="str">
        <f>VLOOKUP(A42,'пр.взв.'!B11:H138,3,FALSE)</f>
        <v>11.11.790, МС</v>
      </c>
      <c r="D42" s="385" t="str">
        <f>VLOOKUP(A42,'пр.взв.'!B11:H138,4,FALSE)</f>
        <v>УФО</v>
      </c>
      <c r="E42" s="122"/>
      <c r="F42" s="142"/>
      <c r="G42" s="132" t="s">
        <v>276</v>
      </c>
      <c r="H42" s="150"/>
      <c r="I42" s="161"/>
      <c r="J42" s="136"/>
      <c r="K42" s="108"/>
      <c r="L42" s="80"/>
      <c r="M42" s="57"/>
      <c r="N42" s="406"/>
      <c r="O42" s="407"/>
      <c r="P42" s="407"/>
      <c r="Q42" s="407"/>
      <c r="R42" s="408"/>
      <c r="S42" s="81"/>
      <c r="T42" s="138"/>
      <c r="U42" s="108"/>
      <c r="V42" s="110"/>
      <c r="W42" s="110"/>
      <c r="X42" s="134"/>
      <c r="Y42" s="132" t="s">
        <v>276</v>
      </c>
      <c r="Z42" s="134"/>
      <c r="AA42" s="110"/>
      <c r="AB42" s="380" t="str">
        <f>VLOOKUP(AE42,'пр.взв.'!B$7:H$134,2,FALSE)</f>
        <v>АЛДУШИН Александр Игоревич</v>
      </c>
      <c r="AC42" s="380" t="str">
        <f>VLOOKUP(AE42,'пр.взв.'!B$7:H$134,3,FALSE)</f>
        <v>04.10.93, МС</v>
      </c>
      <c r="AD42" s="380" t="str">
        <f>VLOOKUP(AE42,'пр.взв.'!B$7:H$134,4,FALSE)</f>
        <v>УФО</v>
      </c>
      <c r="AE42" s="361">
        <v>20</v>
      </c>
      <c r="AF42" s="177"/>
      <c r="AG42" s="177"/>
      <c r="AH42" s="172">
        <f>IF(OR(U$53=AE54,U$53=AE56)," ",IF(AA55=AE54,AE56,AE54))</f>
        <v>40</v>
      </c>
      <c r="AI42" s="174">
        <f>IF(OR(AH38=" ",AH39=" ",AH40=" ",AH41=" ",AH42=" "),AH43,AH42)</f>
        <v>56</v>
      </c>
      <c r="AJ42" s="175"/>
      <c r="AK42" s="177"/>
      <c r="AL42" s="177"/>
      <c r="AM42" s="177"/>
      <c r="AN42" s="177"/>
      <c r="AO42" s="12"/>
      <c r="AP42" s="12"/>
      <c r="AQ42" s="12"/>
    </row>
    <row r="43" spans="1:43" ht="12" customHeight="1" thickBot="1">
      <c r="A43" s="382"/>
      <c r="B43" s="384"/>
      <c r="C43" s="384"/>
      <c r="D43" s="384"/>
      <c r="E43" s="130">
        <v>19</v>
      </c>
      <c r="F43" s="151"/>
      <c r="G43" s="142"/>
      <c r="H43" s="144"/>
      <c r="I43" s="161"/>
      <c r="J43" s="149"/>
      <c r="K43" s="108"/>
      <c r="L43" s="80"/>
      <c r="M43" s="57"/>
      <c r="N43" s="149"/>
      <c r="O43" s="136"/>
      <c r="P43" s="149"/>
      <c r="Q43" s="149"/>
      <c r="R43" s="137"/>
      <c r="S43" s="81"/>
      <c r="T43" s="138"/>
      <c r="U43" s="108"/>
      <c r="V43" s="110"/>
      <c r="W43" s="110"/>
      <c r="X43" s="134"/>
      <c r="Y43" s="110"/>
      <c r="Z43" s="135"/>
      <c r="AA43" s="130">
        <v>20</v>
      </c>
      <c r="AB43" s="381"/>
      <c r="AC43" s="381"/>
      <c r="AD43" s="381"/>
      <c r="AE43" s="359"/>
      <c r="AF43" s="177"/>
      <c r="AG43" s="177"/>
      <c r="AH43" s="172">
        <f>IF(OR(U$53=AE58,U$53=AE60)," ",IF(AA59=AE58,AE60,AE58))</f>
        <v>56</v>
      </c>
      <c r="AI43" s="174">
        <f>IF(OR(AH38=" ",AH39=" ",AH40=" ",AH41=" ",AH42=" ",AH43=" "),AH44,AH43)</f>
        <v>48</v>
      </c>
      <c r="AJ43" s="175"/>
      <c r="AK43" s="177"/>
      <c r="AL43" s="177"/>
      <c r="AM43" s="177"/>
      <c r="AN43" s="177"/>
      <c r="AO43" s="12"/>
      <c r="AP43" s="12"/>
      <c r="AQ43" s="12"/>
    </row>
    <row r="44" spans="1:43" ht="12" customHeight="1" thickBot="1">
      <c r="A44" s="382">
        <v>51</v>
      </c>
      <c r="B44" s="379" t="e">
        <f>VLOOKUP(A44,'пр.взв.'!B13:H140,2,FALSE)</f>
        <v>#N/A</v>
      </c>
      <c r="C44" s="379" t="e">
        <f>VLOOKUP(A44,'пр.взв.'!B13:H140,3,FALSE)</f>
        <v>#N/A</v>
      </c>
      <c r="D44" s="379" t="e">
        <f>VLOOKUP(A44,'пр.взв.'!B13:H140,4,FALSE)</f>
        <v>#N/A</v>
      </c>
      <c r="E44" s="132"/>
      <c r="F44" s="142"/>
      <c r="G44" s="142"/>
      <c r="H44" s="147"/>
      <c r="I44" s="161"/>
      <c r="J44" s="149"/>
      <c r="K44" s="108"/>
      <c r="L44" s="80"/>
      <c r="M44" s="57"/>
      <c r="N44" s="136"/>
      <c r="O44" s="125"/>
      <c r="P44" s="154"/>
      <c r="Q44" s="149"/>
      <c r="R44" s="137"/>
      <c r="S44" s="81"/>
      <c r="T44" s="138"/>
      <c r="U44" s="108"/>
      <c r="V44" s="110"/>
      <c r="W44" s="110"/>
      <c r="X44" s="134"/>
      <c r="Y44" s="110"/>
      <c r="Z44" s="110"/>
      <c r="AA44" s="132"/>
      <c r="AB44" s="378" t="e">
        <f>VLOOKUP(AE44,'пр.взв.'!B$7:H$134,2,FALSE)</f>
        <v>#N/A</v>
      </c>
      <c r="AC44" s="378" t="e">
        <f>VLOOKUP(AE44,'пр.взв.'!B$7:H$134,3,FALSE)</f>
        <v>#N/A</v>
      </c>
      <c r="AD44" s="378" t="e">
        <f>VLOOKUP(AE44,'пр.взв.'!B$7:H$134,4,FALSE)</f>
        <v>#N/A</v>
      </c>
      <c r="AE44" s="359">
        <v>52</v>
      </c>
      <c r="AF44" s="177"/>
      <c r="AG44" s="177"/>
      <c r="AH44" s="172">
        <f>IF(OR(U$53=AE62,U$53=AE64)," ",IF(AA63=AE62,AE64,AE62))</f>
        <v>48</v>
      </c>
      <c r="AI44" s="174">
        <f>IF(OR(AH38=" ",AH39=" ",AH40=" ",AH41=" ",AH42=" ",AH43=" ",AH44=" "),AH45,AH44)</f>
        <v>64</v>
      </c>
      <c r="AJ44" s="175"/>
      <c r="AK44" s="177"/>
      <c r="AL44" s="177"/>
      <c r="AM44" s="177"/>
      <c r="AN44" s="177"/>
      <c r="AO44" s="12"/>
      <c r="AP44" s="12"/>
      <c r="AQ44" s="12"/>
    </row>
    <row r="45" spans="1:36" ht="12" customHeight="1" thickBot="1">
      <c r="A45" s="383"/>
      <c r="B45" s="400"/>
      <c r="C45" s="400"/>
      <c r="D45" s="400"/>
      <c r="E45" s="142"/>
      <c r="F45" s="142"/>
      <c r="G45" s="148"/>
      <c r="H45" s="152"/>
      <c r="I45" s="162"/>
      <c r="J45" s="136"/>
      <c r="K45" s="108"/>
      <c r="L45" s="80"/>
      <c r="M45" s="57"/>
      <c r="N45" s="136"/>
      <c r="O45" s="136"/>
      <c r="P45" s="108"/>
      <c r="Q45" s="108"/>
      <c r="R45" s="108"/>
      <c r="S45" s="81"/>
      <c r="T45" s="138"/>
      <c r="U45" s="108"/>
      <c r="V45" s="110"/>
      <c r="W45" s="130">
        <v>12</v>
      </c>
      <c r="X45" s="134"/>
      <c r="Y45" s="110"/>
      <c r="Z45" s="110"/>
      <c r="AA45" s="110"/>
      <c r="AB45" s="379"/>
      <c r="AC45" s="379"/>
      <c r="AD45" s="379"/>
      <c r="AE45" s="360"/>
      <c r="AH45" s="172">
        <f>IF(OR(U$53=AE66,U$53=AE68)," ",IF(AA67=AE66,AE68,AE66))</f>
        <v>64</v>
      </c>
      <c r="AJ45" s="175"/>
    </row>
    <row r="46" spans="1:36" ht="12" customHeight="1" thickBot="1">
      <c r="A46" s="386">
        <v>11</v>
      </c>
      <c r="B46" s="385" t="str">
        <f>VLOOKUP(A46,'пр.взв.'!B15:H142,2,FALSE)</f>
        <v>ЮСУФОВ Гаджи Чингизович</v>
      </c>
      <c r="C46" s="385" t="str">
        <f>VLOOKUP(A46,'пр.взв.'!B15:H142,3,FALSE)</f>
        <v>08.05.90, МС</v>
      </c>
      <c r="D46" s="385" t="str">
        <f>VLOOKUP(A46,'пр.взв.'!B15:H142,4,FALSE)</f>
        <v>ПФО</v>
      </c>
      <c r="E46" s="122"/>
      <c r="F46" s="122"/>
      <c r="G46" s="142"/>
      <c r="H46" s="154"/>
      <c r="I46" s="130">
        <v>11</v>
      </c>
      <c r="J46" s="153"/>
      <c r="K46" s="136"/>
      <c r="L46" s="80"/>
      <c r="M46" s="57"/>
      <c r="N46" s="136"/>
      <c r="O46" s="136"/>
      <c r="P46" s="108"/>
      <c r="Q46" s="108"/>
      <c r="R46" s="108"/>
      <c r="S46" s="81"/>
      <c r="T46" s="138"/>
      <c r="U46" s="108"/>
      <c r="V46" s="131"/>
      <c r="W46" s="132" t="s">
        <v>278</v>
      </c>
      <c r="X46" s="134"/>
      <c r="Y46" s="110"/>
      <c r="Z46" s="110"/>
      <c r="AA46" s="110"/>
      <c r="AB46" s="380" t="str">
        <f>VLOOKUP(AE46,'пр.взв.'!B$7:H$134,2,FALSE)</f>
        <v>АБУЛАДЗЕ Паата Венорович</v>
      </c>
      <c r="AC46" s="380" t="str">
        <f>VLOOKUP(AE46,'пр.взв.'!B$7:H$134,3,FALSE)</f>
        <v>15.06.91, КМС</v>
      </c>
      <c r="AD46" s="380" t="str">
        <f>VLOOKUP(AE46,'пр.взв.'!B$7:H$134,4,FALSE)</f>
        <v>ЮФО</v>
      </c>
      <c r="AE46" s="361">
        <v>12</v>
      </c>
      <c r="AH46" s="175"/>
      <c r="AJ46" s="175"/>
    </row>
    <row r="47" spans="1:36" ht="12" customHeight="1" thickBot="1">
      <c r="A47" s="382"/>
      <c r="B47" s="384"/>
      <c r="C47" s="384"/>
      <c r="D47" s="384"/>
      <c r="E47" s="130">
        <v>11</v>
      </c>
      <c r="F47" s="142"/>
      <c r="G47" s="142"/>
      <c r="H47" s="155"/>
      <c r="I47" s="132" t="s">
        <v>276</v>
      </c>
      <c r="J47" s="136"/>
      <c r="K47" s="138"/>
      <c r="L47" s="80"/>
      <c r="M47" s="57"/>
      <c r="N47" s="136"/>
      <c r="O47" s="136"/>
      <c r="P47" s="125" t="s">
        <v>24</v>
      </c>
      <c r="Q47" s="136"/>
      <c r="R47" s="136"/>
      <c r="S47" s="81"/>
      <c r="T47" s="138"/>
      <c r="U47" s="108"/>
      <c r="V47" s="134"/>
      <c r="W47" s="110"/>
      <c r="X47" s="134"/>
      <c r="Y47" s="110"/>
      <c r="Z47" s="110"/>
      <c r="AA47" s="130">
        <v>12</v>
      </c>
      <c r="AB47" s="381"/>
      <c r="AC47" s="381"/>
      <c r="AD47" s="381"/>
      <c r="AE47" s="359"/>
      <c r="AH47" s="175"/>
      <c r="AJ47" s="175"/>
    </row>
    <row r="48" spans="1:36" ht="12" customHeight="1" thickBot="1">
      <c r="A48" s="382">
        <v>43</v>
      </c>
      <c r="B48" s="379" t="e">
        <f>VLOOKUP(A48,'пр.взв.'!B17:H144,2,FALSE)</f>
        <v>#N/A</v>
      </c>
      <c r="C48" s="379" t="e">
        <f>VLOOKUP(A48,'пр.взв.'!B17:H144,3,FALSE)</f>
        <v>#N/A</v>
      </c>
      <c r="D48" s="379" t="e">
        <f>VLOOKUP(A48,'пр.взв.'!B17:H144,4,FALSE)</f>
        <v>#N/A</v>
      </c>
      <c r="E48" s="132"/>
      <c r="F48" s="146"/>
      <c r="G48" s="142"/>
      <c r="H48" s="156"/>
      <c r="I48" s="136"/>
      <c r="J48" s="136"/>
      <c r="K48" s="138"/>
      <c r="L48" s="80"/>
      <c r="M48" s="57"/>
      <c r="N48" s="394" t="str">
        <f>VLOOKUP(R67,'пр.взв.'!B7:H134,2,FALSE)</f>
        <v>КУЧУМОВ Александр Николаевич</v>
      </c>
      <c r="O48" s="395"/>
      <c r="P48" s="395"/>
      <c r="Q48" s="395"/>
      <c r="R48" s="396"/>
      <c r="S48" s="81"/>
      <c r="T48" s="138"/>
      <c r="U48" s="108"/>
      <c r="V48" s="134"/>
      <c r="W48" s="110"/>
      <c r="X48" s="134"/>
      <c r="Y48" s="110"/>
      <c r="Z48" s="131"/>
      <c r="AA48" s="132"/>
      <c r="AB48" s="378" t="e">
        <f>VLOOKUP(AE48,'пр.взв.'!B$7:H$134,2,FALSE)</f>
        <v>#N/A</v>
      </c>
      <c r="AC48" s="378" t="e">
        <f>VLOOKUP(AE48,'пр.взв.'!B$7:H$134,3,FALSE)</f>
        <v>#N/A</v>
      </c>
      <c r="AD48" s="378" t="e">
        <f>VLOOKUP(AE48,'пр.взв.'!B$7:H$134,4,FALSE)</f>
        <v>#N/A</v>
      </c>
      <c r="AE48" s="359">
        <v>44</v>
      </c>
      <c r="AH48" s="175">
        <f>IF(AH7=0,AI7,AH7)</f>
        <v>58</v>
      </c>
      <c r="AJ48" s="175"/>
    </row>
    <row r="49" spans="1:36" ht="12" customHeight="1" thickBot="1">
      <c r="A49" s="383"/>
      <c r="B49" s="400"/>
      <c r="C49" s="400"/>
      <c r="D49" s="400"/>
      <c r="E49" s="142"/>
      <c r="F49" s="148"/>
      <c r="G49" s="130">
        <v>11</v>
      </c>
      <c r="H49" s="157"/>
      <c r="I49" s="136"/>
      <c r="J49" s="136"/>
      <c r="K49" s="138"/>
      <c r="L49" s="80"/>
      <c r="M49" s="57"/>
      <c r="N49" s="397"/>
      <c r="O49" s="398"/>
      <c r="P49" s="398"/>
      <c r="Q49" s="398"/>
      <c r="R49" s="399"/>
      <c r="S49" s="81"/>
      <c r="T49" s="138"/>
      <c r="U49" s="108"/>
      <c r="V49" s="134"/>
      <c r="W49" s="110"/>
      <c r="X49" s="135"/>
      <c r="Y49" s="130">
        <v>12</v>
      </c>
      <c r="Z49" s="134"/>
      <c r="AA49" s="110"/>
      <c r="AB49" s="379"/>
      <c r="AC49" s="379"/>
      <c r="AD49" s="379"/>
      <c r="AE49" s="360"/>
      <c r="AH49" s="175">
        <f>IF(U20=AA6,AA10,IF(U20=AA10,AA6,IF(U20=AA14,AA18,IF(U20=AA18,AA14,IF(U20=AA22,AA26,IF(U20=AA26,AA22,IF(U20=AA30,AA34,AA30)))))))</f>
        <v>10</v>
      </c>
      <c r="AJ49" s="175"/>
    </row>
    <row r="50" spans="1:36" ht="12" customHeight="1" thickBot="1">
      <c r="A50" s="386">
        <v>27</v>
      </c>
      <c r="B50" s="385" t="str">
        <f>VLOOKUP(A50,'пр.взв.'!B19:H146,2,FALSE)</f>
        <v>ГИБАДУЛЛИН Игорь Витальевич</v>
      </c>
      <c r="C50" s="385" t="str">
        <f>VLOOKUP(A50,'пр.взв.'!B19:H146,3,FALSE)</f>
        <v>27.03.84, МСМК</v>
      </c>
      <c r="D50" s="385" t="str">
        <f>VLOOKUP(A50,'пр.взв.'!B19:H146,4,FALSE)</f>
        <v>УФО</v>
      </c>
      <c r="E50" s="122"/>
      <c r="F50" s="142"/>
      <c r="G50" s="132" t="s">
        <v>278</v>
      </c>
      <c r="H50" s="147"/>
      <c r="I50" s="136"/>
      <c r="J50" s="136"/>
      <c r="K50" s="138"/>
      <c r="L50" s="80"/>
      <c r="M50" s="57"/>
      <c r="N50" s="136"/>
      <c r="O50" s="136"/>
      <c r="P50" s="108"/>
      <c r="Q50" s="108"/>
      <c r="R50" s="108"/>
      <c r="S50" s="81"/>
      <c r="T50" s="138"/>
      <c r="U50" s="136"/>
      <c r="V50" s="134"/>
      <c r="W50" s="110"/>
      <c r="X50" s="110"/>
      <c r="Y50" s="132" t="s">
        <v>276</v>
      </c>
      <c r="Z50" s="134"/>
      <c r="AA50" s="110"/>
      <c r="AB50" s="380" t="str">
        <f>VLOOKUP(AE50,'пр.взв.'!B$7:H$134,2,FALSE)</f>
        <v>БОБИКОВ Роман Николаевич</v>
      </c>
      <c r="AC50" s="380" t="str">
        <f>VLOOKUP(AE50,'пр.взв.'!B$7:H$134,3,FALSE)</f>
        <v>08.12.89, МС</v>
      </c>
      <c r="AD50" s="380" t="str">
        <f>VLOOKUP(AE50,'пр.взв.'!B$7:H$134,4,FALSE)</f>
        <v>ЦФО</v>
      </c>
      <c r="AE50" s="361">
        <v>28</v>
      </c>
      <c r="AH50" s="171">
        <f>IF(AH8=0,AI8,AH8)</f>
        <v>44</v>
      </c>
      <c r="AJ50" s="175"/>
    </row>
    <row r="51" spans="1:36" ht="12" customHeight="1" thickBot="1">
      <c r="A51" s="382"/>
      <c r="B51" s="384"/>
      <c r="C51" s="384"/>
      <c r="D51" s="384"/>
      <c r="E51" s="130">
        <v>27</v>
      </c>
      <c r="F51" s="151"/>
      <c r="G51" s="142"/>
      <c r="H51" s="144"/>
      <c r="I51" s="136"/>
      <c r="J51" s="136"/>
      <c r="K51" s="138"/>
      <c r="L51" s="80"/>
      <c r="M51" s="57"/>
      <c r="N51" s="136"/>
      <c r="O51" s="136"/>
      <c r="P51" s="108"/>
      <c r="Q51" s="108"/>
      <c r="R51" s="108"/>
      <c r="S51" s="81"/>
      <c r="T51" s="138"/>
      <c r="U51" s="136"/>
      <c r="V51" s="134"/>
      <c r="W51" s="110"/>
      <c r="X51" s="110"/>
      <c r="Y51" s="110"/>
      <c r="Z51" s="135"/>
      <c r="AA51" s="130">
        <v>28</v>
      </c>
      <c r="AB51" s="381"/>
      <c r="AC51" s="381"/>
      <c r="AD51" s="381"/>
      <c r="AE51" s="359"/>
      <c r="AH51" s="171">
        <f>IF(U53=AA39,AA43,IF(U53=AA43,AA39,IF(U53=AA47,AA51,IF(U53=AA51,AA47,IF(U53=AA55,AA59,IF(U53=AA59,AA55,IF(U53=AA63,AA67,AA63)))))))</f>
        <v>28</v>
      </c>
      <c r="AJ51" s="175"/>
    </row>
    <row r="52" spans="1:36" ht="12" customHeight="1" thickBot="1">
      <c r="A52" s="382">
        <v>59</v>
      </c>
      <c r="B52" s="379" t="e">
        <f>VLOOKUP(A52,'пр.взв.'!B21:H148,2,FALSE)</f>
        <v>#N/A</v>
      </c>
      <c r="C52" s="379" t="e">
        <f>VLOOKUP(A52,'пр.взв.'!B21:H148,3,FALSE)</f>
        <v>#N/A</v>
      </c>
      <c r="D52" s="379" t="e">
        <f>VLOOKUP(A52,'пр.взв.'!B21:H148,4,FALSE)</f>
        <v>#N/A</v>
      </c>
      <c r="E52" s="132"/>
      <c r="F52" s="142"/>
      <c r="G52" s="142"/>
      <c r="H52" s="147"/>
      <c r="I52" s="136"/>
      <c r="J52" s="136"/>
      <c r="K52" s="138"/>
      <c r="L52" s="80"/>
      <c r="M52" s="57"/>
      <c r="N52" s="136"/>
      <c r="O52" s="136"/>
      <c r="P52" s="108"/>
      <c r="Q52" s="108"/>
      <c r="R52" s="108"/>
      <c r="S52" s="81"/>
      <c r="T52" s="138"/>
      <c r="U52" s="136"/>
      <c r="V52" s="134"/>
      <c r="W52" s="110"/>
      <c r="X52" s="110"/>
      <c r="Y52" s="110"/>
      <c r="Z52" s="110"/>
      <c r="AA52" s="132"/>
      <c r="AB52" s="378" t="e">
        <f>VLOOKUP(AE52,'пр.взв.'!B$7:H$134,2,FALSE)</f>
        <v>#N/A</v>
      </c>
      <c r="AC52" s="378" t="e">
        <f>VLOOKUP(AE52,'пр.взв.'!B$7:H$134,3,FALSE)</f>
        <v>#N/A</v>
      </c>
      <c r="AD52" s="378" t="e">
        <f>VLOOKUP(AE52,'пр.взв.'!B$7:H$134,4,FALSE)</f>
        <v>#N/A</v>
      </c>
      <c r="AE52" s="359">
        <v>60</v>
      </c>
      <c r="AH52" s="171">
        <f>IF(U20=Y8,Y16,IF(U20=Y16,Y8,IF(U20=Y24,Y32,Y24)))</f>
        <v>18</v>
      </c>
      <c r="AJ52" s="175"/>
    </row>
    <row r="53" spans="1:36" ht="12" customHeight="1" thickBot="1">
      <c r="A53" s="383"/>
      <c r="B53" s="400"/>
      <c r="C53" s="400"/>
      <c r="D53" s="400"/>
      <c r="E53" s="142"/>
      <c r="F53" s="142"/>
      <c r="G53" s="142"/>
      <c r="H53" s="144"/>
      <c r="I53" s="136"/>
      <c r="J53" s="136"/>
      <c r="K53" s="130">
        <v>11</v>
      </c>
      <c r="L53" s="86"/>
      <c r="M53" s="57"/>
      <c r="N53" s="136"/>
      <c r="O53" s="136"/>
      <c r="P53" s="108"/>
      <c r="Q53" s="108"/>
      <c r="R53" s="108"/>
      <c r="S53" s="81"/>
      <c r="T53" s="255"/>
      <c r="U53" s="130">
        <v>12</v>
      </c>
      <c r="V53" s="134"/>
      <c r="W53" s="110"/>
      <c r="X53" s="110"/>
      <c r="Y53" s="110"/>
      <c r="Z53" s="110"/>
      <c r="AA53" s="110"/>
      <c r="AB53" s="379"/>
      <c r="AC53" s="379"/>
      <c r="AD53" s="379"/>
      <c r="AE53" s="360"/>
      <c r="AH53" s="171">
        <f>IF(U53=Y41,Y49,IF(U53=Y49,Y41,IF(U53=Y57,Y65,Y57)))</f>
        <v>4</v>
      </c>
      <c r="AJ53" s="175"/>
    </row>
    <row r="54" spans="1:36" ht="12" customHeight="1" thickBot="1">
      <c r="A54" s="386">
        <v>7</v>
      </c>
      <c r="B54" s="385" t="str">
        <f>VLOOKUP(A54,'пр.взв.'!B7:H134,2,FALSE)</f>
        <v>БАЙРАМУКОВ Таулан Хасанович</v>
      </c>
      <c r="C54" s="385" t="str">
        <f>VLOOKUP(A54,'пр.взв.'!B7:H134,3,FALSE)</f>
        <v>09.01.1991, МС</v>
      </c>
      <c r="D54" s="385" t="str">
        <f>VLOOKUP(A54,'пр.взв.'!B7:H134,4,FALSE)</f>
        <v>СКФО</v>
      </c>
      <c r="E54" s="122"/>
      <c r="F54" s="122"/>
      <c r="G54" s="141"/>
      <c r="H54" s="141"/>
      <c r="I54" s="109"/>
      <c r="J54" s="109"/>
      <c r="K54" s="132" t="s">
        <v>276</v>
      </c>
      <c r="L54" s="81"/>
      <c r="M54" s="81"/>
      <c r="N54" s="374" t="s">
        <v>26</v>
      </c>
      <c r="O54" s="374"/>
      <c r="P54" s="108"/>
      <c r="Q54" s="108"/>
      <c r="R54" s="108"/>
      <c r="S54" s="81"/>
      <c r="T54" s="108"/>
      <c r="U54" s="132" t="s">
        <v>276</v>
      </c>
      <c r="V54" s="134"/>
      <c r="W54" s="110"/>
      <c r="X54" s="110"/>
      <c r="Y54" s="110"/>
      <c r="Z54" s="110"/>
      <c r="AA54" s="110"/>
      <c r="AB54" s="380" t="str">
        <f>VLOOKUP(AE54,'пр.взв.'!B$7:H$134,2,FALSE)</f>
        <v>ТАРАСЕНКО Владимир Владимирович</v>
      </c>
      <c r="AC54" s="380" t="str">
        <f>VLOOKUP(AE54,'пр.взв.'!B$7:H$134,3,FALSE)</f>
        <v>25.01.91, МС</v>
      </c>
      <c r="AD54" s="380" t="str">
        <f>VLOOKUP(AE54,'пр.взв.'!B$7:H$134,4,FALSE)</f>
        <v>СКФО</v>
      </c>
      <c r="AE54" s="361">
        <v>8</v>
      </c>
      <c r="AH54" s="171">
        <f>IF(U53=W45,W61,W45)</f>
        <v>24</v>
      </c>
      <c r="AJ54" s="175"/>
    </row>
    <row r="55" spans="1:36" ht="12" customHeight="1" thickBot="1">
      <c r="A55" s="382"/>
      <c r="B55" s="384"/>
      <c r="C55" s="384"/>
      <c r="D55" s="384"/>
      <c r="E55" s="130">
        <v>7</v>
      </c>
      <c r="F55" s="142"/>
      <c r="G55" s="143"/>
      <c r="H55" s="144"/>
      <c r="I55" s="154"/>
      <c r="J55" s="149"/>
      <c r="K55" s="158"/>
      <c r="L55" s="81"/>
      <c r="M55" s="81"/>
      <c r="N55" s="374"/>
      <c r="O55" s="374"/>
      <c r="P55" s="108"/>
      <c r="Q55" s="108"/>
      <c r="R55" s="108"/>
      <c r="S55" s="81"/>
      <c r="T55" s="108"/>
      <c r="U55" s="136"/>
      <c r="V55" s="134"/>
      <c r="W55" s="110"/>
      <c r="X55" s="110"/>
      <c r="Y55" s="110"/>
      <c r="Z55" s="110"/>
      <c r="AA55" s="130">
        <v>8</v>
      </c>
      <c r="AB55" s="381"/>
      <c r="AC55" s="381"/>
      <c r="AD55" s="381"/>
      <c r="AE55" s="359"/>
      <c r="AH55" s="171">
        <f>IF(M36=K20,K53,K20)</f>
        <v>11</v>
      </c>
      <c r="AJ55" s="175"/>
    </row>
    <row r="56" spans="1:34" ht="12" customHeight="1" thickBot="1">
      <c r="A56" s="382">
        <v>39</v>
      </c>
      <c r="B56" s="379" t="e">
        <f>VLOOKUP(A56,'пр.взв.'!B25:H152,2,FALSE)</f>
        <v>#N/A</v>
      </c>
      <c r="C56" s="379" t="e">
        <f>VLOOKUP(A56,'пр.взв.'!B25:H152,3,FALSE)</f>
        <v>#N/A</v>
      </c>
      <c r="D56" s="379" t="e">
        <f>VLOOKUP(A56,'пр.взв.'!B25:H152,4,FALSE)</f>
        <v>#N/A</v>
      </c>
      <c r="E56" s="132"/>
      <c r="F56" s="146"/>
      <c r="G56" s="142"/>
      <c r="H56" s="147"/>
      <c r="I56" s="149"/>
      <c r="J56" s="154"/>
      <c r="K56" s="138"/>
      <c r="L56" s="409">
        <f>AH48</f>
        <v>58</v>
      </c>
      <c r="M56" s="409"/>
      <c r="N56" s="81"/>
      <c r="O56" s="81"/>
      <c r="P56" s="81"/>
      <c r="Q56" s="81"/>
      <c r="R56" s="236"/>
      <c r="S56" s="50"/>
      <c r="T56" s="108"/>
      <c r="U56" s="136"/>
      <c r="V56" s="134"/>
      <c r="W56" s="110"/>
      <c r="X56" s="110"/>
      <c r="Y56" s="110"/>
      <c r="Z56" s="131"/>
      <c r="AA56" s="132"/>
      <c r="AB56" s="378" t="e">
        <f>VLOOKUP(AE56,'пр.взв.'!B$7:H$134,2,FALSE)</f>
        <v>#N/A</v>
      </c>
      <c r="AC56" s="378" t="e">
        <f>VLOOKUP(AE56,'пр.взв.'!B$7:H$134,3,FALSE)</f>
        <v>#N/A</v>
      </c>
      <c r="AD56" s="378" t="e">
        <f>VLOOKUP(AE56,'пр.взв.'!B$7:H$134,4,FALSE)</f>
        <v>#N/A</v>
      </c>
      <c r="AE56" s="359">
        <v>40</v>
      </c>
      <c r="AH56" s="171">
        <f>IF(U20=W12,W28,W12)</f>
        <v>6</v>
      </c>
    </row>
    <row r="57" spans="1:31" ht="12" customHeight="1" thickBot="1">
      <c r="A57" s="383"/>
      <c r="B57" s="400"/>
      <c r="C57" s="400"/>
      <c r="D57" s="400"/>
      <c r="E57" s="142"/>
      <c r="F57" s="148"/>
      <c r="G57" s="130">
        <v>7</v>
      </c>
      <c r="H57" s="149"/>
      <c r="I57" s="154"/>
      <c r="J57" s="149"/>
      <c r="K57" s="138"/>
      <c r="L57" s="416"/>
      <c r="M57" s="417"/>
      <c r="N57" s="109">
        <v>10</v>
      </c>
      <c r="O57" s="235"/>
      <c r="P57" s="236"/>
      <c r="Q57" s="55"/>
      <c r="R57" s="55"/>
      <c r="S57" s="55"/>
      <c r="T57" s="108"/>
      <c r="U57" s="136"/>
      <c r="V57" s="134"/>
      <c r="W57" s="110"/>
      <c r="X57" s="110"/>
      <c r="Y57" s="130">
        <v>24</v>
      </c>
      <c r="Z57" s="134"/>
      <c r="AA57" s="110"/>
      <c r="AB57" s="379"/>
      <c r="AC57" s="379"/>
      <c r="AD57" s="379"/>
      <c r="AE57" s="360"/>
    </row>
    <row r="58" spans="1:31" ht="12" customHeight="1" thickBot="1">
      <c r="A58" s="386">
        <v>23</v>
      </c>
      <c r="B58" s="385" t="str">
        <f>VLOOKUP(A58,'пр.взв.'!B27:H154,2,FALSE)</f>
        <v>МИХАЛЬЧЕНКО Роман Александрович</v>
      </c>
      <c r="C58" s="385" t="str">
        <f>VLOOKUP(A58,'пр.взв.'!B27:H154,3,FALSE)</f>
        <v>27.06.87 мсмк</v>
      </c>
      <c r="D58" s="385" t="str">
        <f>VLOOKUP(A58,'пр.взв.'!B27:H154,4,FALSE)</f>
        <v>УФО</v>
      </c>
      <c r="E58" s="122"/>
      <c r="F58" s="142"/>
      <c r="G58" s="132" t="s">
        <v>279</v>
      </c>
      <c r="H58" s="159"/>
      <c r="I58" s="149"/>
      <c r="J58" s="149"/>
      <c r="K58" s="158"/>
      <c r="L58" s="256"/>
      <c r="M58" s="238"/>
      <c r="N58" s="239"/>
      <c r="O58" s="236"/>
      <c r="P58" s="235"/>
      <c r="Q58" s="55"/>
      <c r="R58" s="55"/>
      <c r="S58" s="55"/>
      <c r="T58" s="108"/>
      <c r="U58" s="136"/>
      <c r="V58" s="134"/>
      <c r="W58" s="110"/>
      <c r="X58" s="131"/>
      <c r="Y58" s="132" t="s">
        <v>276</v>
      </c>
      <c r="Z58" s="134"/>
      <c r="AA58" s="110"/>
      <c r="AB58" s="380" t="str">
        <f>VLOOKUP(AE58,'пр.взв.'!B$7:H$134,2,FALSE)</f>
        <v>СТАРКОВ Михаил Александрович</v>
      </c>
      <c r="AC58" s="380" t="str">
        <f>VLOOKUP(AE58,'пр.взв.'!B$7:H$134,3,FALSE)</f>
        <v>13.07.77, МСМК</v>
      </c>
      <c r="AD58" s="380" t="str">
        <f>VLOOKUP(AE58,'пр.взв.'!B$7:H$134,4,FALSE)</f>
        <v>УФО</v>
      </c>
      <c r="AE58" s="361">
        <v>24</v>
      </c>
    </row>
    <row r="59" spans="1:31" ht="12" customHeight="1" thickBot="1">
      <c r="A59" s="382"/>
      <c r="B59" s="384"/>
      <c r="C59" s="384"/>
      <c r="D59" s="384"/>
      <c r="E59" s="130">
        <v>23</v>
      </c>
      <c r="F59" s="151"/>
      <c r="G59" s="142"/>
      <c r="H59" s="160"/>
      <c r="I59" s="149"/>
      <c r="J59" s="149"/>
      <c r="K59" s="138"/>
      <c r="L59" s="409">
        <f>AH49</f>
        <v>10</v>
      </c>
      <c r="M59" s="412"/>
      <c r="N59" s="51"/>
      <c r="O59" s="109">
        <v>10</v>
      </c>
      <c r="P59" s="235"/>
      <c r="Q59" s="235"/>
      <c r="R59" s="50"/>
      <c r="S59" s="240"/>
      <c r="T59" s="108"/>
      <c r="U59" s="136"/>
      <c r="V59" s="134"/>
      <c r="W59" s="110"/>
      <c r="X59" s="134"/>
      <c r="Y59" s="110"/>
      <c r="Z59" s="135"/>
      <c r="AA59" s="130">
        <v>24</v>
      </c>
      <c r="AB59" s="381"/>
      <c r="AC59" s="381"/>
      <c r="AD59" s="381"/>
      <c r="AE59" s="359"/>
    </row>
    <row r="60" spans="1:31" ht="12" customHeight="1" thickBot="1">
      <c r="A60" s="382">
        <v>55</v>
      </c>
      <c r="B60" s="379" t="e">
        <f>VLOOKUP(A60,'пр.взв.'!B29:H156,2,FALSE)</f>
        <v>#N/A</v>
      </c>
      <c r="C60" s="379" t="e">
        <f>VLOOKUP(A60,'пр.взв.'!B29:H156,3,FALSE)</f>
        <v>#N/A</v>
      </c>
      <c r="D60" s="379" t="e">
        <f>VLOOKUP(A60,'пр.взв.'!B29:H156,4,FALSE)</f>
        <v>#N/A</v>
      </c>
      <c r="E60" s="132"/>
      <c r="F60" s="142"/>
      <c r="G60" s="142"/>
      <c r="H60" s="156"/>
      <c r="I60" s="149"/>
      <c r="J60" s="154"/>
      <c r="K60" s="138"/>
      <c r="L60" s="418"/>
      <c r="M60" s="418"/>
      <c r="N60" s="15">
        <f>AH52</f>
        <v>18</v>
      </c>
      <c r="O60" s="239" t="s">
        <v>276</v>
      </c>
      <c r="P60" s="235"/>
      <c r="Q60" s="50"/>
      <c r="R60" s="50"/>
      <c r="S60" s="235"/>
      <c r="T60" s="108"/>
      <c r="U60" s="136"/>
      <c r="V60" s="134"/>
      <c r="W60" s="110"/>
      <c r="X60" s="134"/>
      <c r="Y60" s="110"/>
      <c r="Z60" s="110"/>
      <c r="AA60" s="132"/>
      <c r="AB60" s="378" t="e">
        <f>VLOOKUP(AE60,'пр.взв.'!B$7:H$134,2,FALSE)</f>
        <v>#N/A</v>
      </c>
      <c r="AC60" s="378" t="e">
        <f>VLOOKUP(AE60,'пр.взв.'!B$7:H$134,3,FALSE)</f>
        <v>#N/A</v>
      </c>
      <c r="AD60" s="378" t="e">
        <f>VLOOKUP(AE60,'пр.взв.'!B$7:H$134,4,FALSE)</f>
        <v>#N/A</v>
      </c>
      <c r="AE60" s="359">
        <v>56</v>
      </c>
    </row>
    <row r="61" spans="1:31" ht="12" customHeight="1" thickBot="1">
      <c r="A61" s="383"/>
      <c r="B61" s="400"/>
      <c r="C61" s="400"/>
      <c r="D61" s="400"/>
      <c r="E61" s="142"/>
      <c r="F61" s="142"/>
      <c r="G61" s="148"/>
      <c r="H61" s="152"/>
      <c r="I61" s="130">
        <v>15</v>
      </c>
      <c r="J61" s="253"/>
      <c r="K61" s="138"/>
      <c r="L61" s="257"/>
      <c r="M61" s="236"/>
      <c r="N61" s="50"/>
      <c r="O61" s="51"/>
      <c r="P61" s="109">
        <v>6</v>
      </c>
      <c r="Q61" s="50"/>
      <c r="R61" s="50"/>
      <c r="S61" s="235"/>
      <c r="T61" s="108"/>
      <c r="U61" s="136"/>
      <c r="V61" s="135"/>
      <c r="W61" s="139">
        <v>24</v>
      </c>
      <c r="X61" s="134"/>
      <c r="Y61" s="110"/>
      <c r="Z61" s="110"/>
      <c r="AA61" s="110"/>
      <c r="AB61" s="379"/>
      <c r="AC61" s="379"/>
      <c r="AD61" s="379"/>
      <c r="AE61" s="360"/>
    </row>
    <row r="62" spans="1:31" ht="12" customHeight="1" thickBot="1">
      <c r="A62" s="386">
        <v>15</v>
      </c>
      <c r="B62" s="385" t="str">
        <f>VLOOKUP(A62,'пр.взв.'!B31:H158,2,FALSE)</f>
        <v>ХОРПЯКОВ Олег Вячеславович</v>
      </c>
      <c r="C62" s="385" t="str">
        <f>VLOOKUP(A62,'пр.взв.'!B31:H158,3,FALSE)</f>
        <v>28.02.77, МСМК</v>
      </c>
      <c r="D62" s="385" t="str">
        <f>VLOOKUP(A62,'пр.взв.'!B31:H158,4,FALSE)</f>
        <v>МОС</v>
      </c>
      <c r="E62" s="122"/>
      <c r="F62" s="122"/>
      <c r="G62" s="142"/>
      <c r="H62" s="154"/>
      <c r="I62" s="132" t="s">
        <v>278</v>
      </c>
      <c r="J62" s="149"/>
      <c r="K62" s="136"/>
      <c r="L62" s="257"/>
      <c r="M62" s="236"/>
      <c r="N62" s="50"/>
      <c r="O62" s="15">
        <f>AH56</f>
        <v>6</v>
      </c>
      <c r="P62" s="239" t="s">
        <v>278</v>
      </c>
      <c r="Q62" s="50"/>
      <c r="R62" s="50"/>
      <c r="S62" s="241"/>
      <c r="T62" s="108"/>
      <c r="U62" s="136"/>
      <c r="V62" s="110"/>
      <c r="W62" s="140" t="s">
        <v>276</v>
      </c>
      <c r="X62" s="134"/>
      <c r="Y62" s="110"/>
      <c r="Z62" s="110"/>
      <c r="AA62" s="110"/>
      <c r="AB62" s="380" t="str">
        <f>VLOOKUP(AE62,'пр.взв.'!B$7:H$134,2,FALSE)</f>
        <v>ГОНЧАРУК Роман Михайлович</v>
      </c>
      <c r="AC62" s="380" t="str">
        <f>VLOOKUP(AE62,'пр.взв.'!B$7:H$134,3,FALSE)</f>
        <v>24.06.93, МС</v>
      </c>
      <c r="AD62" s="380" t="str">
        <f>VLOOKUP(AE62,'пр.взв.'!B$7:H$134,4,FALSE)</f>
        <v>МОС</v>
      </c>
      <c r="AE62" s="361">
        <v>16</v>
      </c>
    </row>
    <row r="63" spans="1:31" ht="12" customHeight="1" thickBot="1">
      <c r="A63" s="382"/>
      <c r="B63" s="384"/>
      <c r="C63" s="384"/>
      <c r="D63" s="384"/>
      <c r="E63" s="130">
        <v>15</v>
      </c>
      <c r="F63" s="142"/>
      <c r="G63" s="142"/>
      <c r="H63" s="155"/>
      <c r="I63" s="136"/>
      <c r="J63" s="108"/>
      <c r="K63" s="108"/>
      <c r="L63" s="409">
        <f>AH50</f>
        <v>44</v>
      </c>
      <c r="M63" s="409"/>
      <c r="N63" s="50"/>
      <c r="O63" s="50"/>
      <c r="P63" s="242"/>
      <c r="Q63" s="50"/>
      <c r="R63" s="50"/>
      <c r="S63" s="241"/>
      <c r="T63" s="108"/>
      <c r="U63" s="136"/>
      <c r="V63" s="110"/>
      <c r="W63" s="110"/>
      <c r="X63" s="134"/>
      <c r="Y63" s="110"/>
      <c r="Z63" s="110"/>
      <c r="AA63" s="130">
        <v>16</v>
      </c>
      <c r="AB63" s="381"/>
      <c r="AC63" s="381"/>
      <c r="AD63" s="381"/>
      <c r="AE63" s="359"/>
    </row>
    <row r="64" spans="1:31" ht="12" customHeight="1" thickBot="1">
      <c r="A64" s="382">
        <v>47</v>
      </c>
      <c r="B64" s="379" t="e">
        <f>VLOOKUP(A64,'пр.взв.'!B33:H160,2,FALSE)</f>
        <v>#N/A</v>
      </c>
      <c r="C64" s="379" t="e">
        <f>VLOOKUP(A64,'пр.взв.'!B33:H160,3,FALSE)</f>
        <v>#N/A</v>
      </c>
      <c r="D64" s="379" t="e">
        <f>VLOOKUP(A64,'пр.взв.'!B33:H160,4,FALSE)</f>
        <v>#N/A</v>
      </c>
      <c r="E64" s="163"/>
      <c r="F64" s="146"/>
      <c r="G64" s="142"/>
      <c r="H64" s="156"/>
      <c r="I64" s="136"/>
      <c r="J64" s="234"/>
      <c r="K64" s="234"/>
      <c r="L64" s="258"/>
      <c r="M64" s="243"/>
      <c r="N64" s="244">
        <v>28</v>
      </c>
      <c r="O64" s="50"/>
      <c r="P64" s="245"/>
      <c r="Q64" s="244">
        <v>6</v>
      </c>
      <c r="R64" s="50"/>
      <c r="S64" s="246"/>
      <c r="T64" s="108"/>
      <c r="U64" s="136"/>
      <c r="V64" s="110"/>
      <c r="W64" s="110"/>
      <c r="X64" s="134"/>
      <c r="Y64" s="110"/>
      <c r="Z64" s="131"/>
      <c r="AA64" s="132"/>
      <c r="AB64" s="378" t="e">
        <f>VLOOKUP(AE64,'пр.взв.'!B$7:H$134,2,FALSE)</f>
        <v>#N/A</v>
      </c>
      <c r="AC64" s="378" t="e">
        <f>VLOOKUP(AE64,'пр.взв.'!B$7:H$134,3,FALSE)</f>
        <v>#N/A</v>
      </c>
      <c r="AD64" s="378" t="e">
        <f>VLOOKUP(AE64,'пр.взв.'!B$7:H$134,4,FALSE)</f>
        <v>#N/A</v>
      </c>
      <c r="AE64" s="359">
        <v>48</v>
      </c>
    </row>
    <row r="65" spans="1:31" ht="12" customHeight="1" thickBot="1">
      <c r="A65" s="383"/>
      <c r="B65" s="400"/>
      <c r="C65" s="400"/>
      <c r="D65" s="400"/>
      <c r="E65" s="142"/>
      <c r="F65" s="148"/>
      <c r="G65" s="130">
        <v>15</v>
      </c>
      <c r="H65" s="157"/>
      <c r="I65" s="136"/>
      <c r="J65" s="234"/>
      <c r="K65" s="234"/>
      <c r="L65" s="256"/>
      <c r="M65" s="238"/>
      <c r="N65" s="239"/>
      <c r="O65" s="50"/>
      <c r="P65" s="242"/>
      <c r="Q65" s="239" t="s">
        <v>279</v>
      </c>
      <c r="R65" s="50"/>
      <c r="S65" s="241"/>
      <c r="T65" s="108"/>
      <c r="U65" s="136"/>
      <c r="V65" s="110"/>
      <c r="W65" s="110"/>
      <c r="X65" s="135"/>
      <c r="Y65" s="130">
        <v>32</v>
      </c>
      <c r="Z65" s="134"/>
      <c r="AA65" s="110"/>
      <c r="AB65" s="379"/>
      <c r="AC65" s="379"/>
      <c r="AD65" s="379"/>
      <c r="AE65" s="360"/>
    </row>
    <row r="66" spans="1:31" ht="12" customHeight="1" thickBot="1">
      <c r="A66" s="386">
        <v>31</v>
      </c>
      <c r="B66" s="385" t="str">
        <f>VLOOKUP(A66,'пр.взв.'!B35:H162,2,FALSE)</f>
        <v>САЛАМАХА Николай Анатольевич</v>
      </c>
      <c r="C66" s="385" t="str">
        <f>VLOOKUP(A66,'пр.взв.'!B35:H162,3,FALSE)</f>
        <v>02.01.1991, кмс</v>
      </c>
      <c r="D66" s="385" t="str">
        <f>VLOOKUP(A66,'пр.взв.'!B35:H162,4,FALSE)</f>
        <v>СЕВ</v>
      </c>
      <c r="E66" s="122"/>
      <c r="F66" s="142"/>
      <c r="G66" s="132" t="s">
        <v>276</v>
      </c>
      <c r="H66" s="147"/>
      <c r="I66" s="136"/>
      <c r="J66" s="234"/>
      <c r="K66" s="234"/>
      <c r="L66" s="409">
        <f>AH51</f>
        <v>28</v>
      </c>
      <c r="M66" s="412"/>
      <c r="N66" s="51"/>
      <c r="O66" s="244">
        <v>4</v>
      </c>
      <c r="P66" s="242"/>
      <c r="Q66" s="51"/>
      <c r="R66" s="50"/>
      <c r="S66" s="241"/>
      <c r="T66" s="108"/>
      <c r="U66" s="136"/>
      <c r="V66" s="110"/>
      <c r="W66" s="110"/>
      <c r="X66" s="110"/>
      <c r="Y66" s="132" t="s">
        <v>276</v>
      </c>
      <c r="Z66" s="134"/>
      <c r="AA66" s="110"/>
      <c r="AB66" s="380" t="str">
        <f>VLOOKUP(AE66,'пр.взв.'!B$7:H$134,2,FALSE)</f>
        <v>ТУНАКОВ Александр Сергеевич</v>
      </c>
      <c r="AC66" s="380" t="str">
        <f>VLOOKUP(AE66,'пр.взв.'!B$7:H$134,3,FALSE)</f>
        <v>25.08.94, МС</v>
      </c>
      <c r="AD66" s="380" t="str">
        <f>VLOOKUP(AE66,'пр.взв.'!B$7:H$134,4,FALSE)</f>
        <v>ПФО</v>
      </c>
      <c r="AE66" s="361">
        <v>32</v>
      </c>
    </row>
    <row r="67" spans="1:31" ht="12" customHeight="1" thickBot="1">
      <c r="A67" s="382"/>
      <c r="B67" s="384"/>
      <c r="C67" s="384"/>
      <c r="D67" s="384"/>
      <c r="E67" s="130">
        <v>31</v>
      </c>
      <c r="F67" s="151"/>
      <c r="G67" s="142"/>
      <c r="H67" s="144"/>
      <c r="I67" s="136"/>
      <c r="J67" s="234"/>
      <c r="K67" s="234"/>
      <c r="L67" s="81"/>
      <c r="M67" s="235"/>
      <c r="N67" s="15">
        <f>AH53</f>
        <v>4</v>
      </c>
      <c r="O67" s="239" t="s">
        <v>277</v>
      </c>
      <c r="P67" s="242"/>
      <c r="Q67" s="51"/>
      <c r="R67" s="259">
        <v>6</v>
      </c>
      <c r="S67" s="241"/>
      <c r="T67" s="108"/>
      <c r="U67" s="108"/>
      <c r="V67" s="110"/>
      <c r="W67" s="110"/>
      <c r="X67" s="110"/>
      <c r="Y67" s="110"/>
      <c r="Z67" s="135"/>
      <c r="AA67" s="130">
        <v>32</v>
      </c>
      <c r="AB67" s="381"/>
      <c r="AC67" s="381"/>
      <c r="AD67" s="381"/>
      <c r="AE67" s="359"/>
    </row>
    <row r="68" spans="1:31" ht="12" customHeight="1" thickBot="1">
      <c r="A68" s="382">
        <v>63</v>
      </c>
      <c r="B68" s="402" t="e">
        <f>VLOOKUP(A68,'пр.взв.'!B37:H164,2,FALSE)</f>
        <v>#N/A</v>
      </c>
      <c r="C68" s="402" t="e">
        <f>VLOOKUP(A68,'пр.взв.'!B37:H164,3,FALSE)</f>
        <v>#N/A</v>
      </c>
      <c r="D68" s="402" t="e">
        <f>VLOOKUP(A68,'пр.взв.'!B37:H164,4,FALSE)</f>
        <v>#N/A</v>
      </c>
      <c r="E68" s="163"/>
      <c r="F68" s="142"/>
      <c r="G68" s="142"/>
      <c r="H68" s="147"/>
      <c r="I68" s="136"/>
      <c r="J68" s="234"/>
      <c r="K68" s="234"/>
      <c r="L68" s="81"/>
      <c r="M68" s="235"/>
      <c r="N68" s="50"/>
      <c r="O68" s="51"/>
      <c r="P68" s="157">
        <v>4</v>
      </c>
      <c r="Q68" s="51"/>
      <c r="R68" s="247" t="s">
        <v>278</v>
      </c>
      <c r="S68" s="241"/>
      <c r="T68" s="108"/>
      <c r="U68" s="108"/>
      <c r="V68" s="110"/>
      <c r="W68" s="110"/>
      <c r="X68" s="110"/>
      <c r="Y68" s="110"/>
      <c r="Z68" s="110"/>
      <c r="AA68" s="132"/>
      <c r="AB68" s="378" t="e">
        <f>VLOOKUP(AE68,'пр.взв.'!B$7:H$134,2,FALSE)</f>
        <v>#N/A</v>
      </c>
      <c r="AC68" s="378" t="e">
        <f>VLOOKUP(AE68,'пр.взв.'!B$7:H$134,3,FALSE)</f>
        <v>#N/A</v>
      </c>
      <c r="AD68" s="378" t="e">
        <f>VLOOKUP(AE68,'пр.взв.'!B$7:H$134,4,FALSE)</f>
        <v>#N/A</v>
      </c>
      <c r="AE68" s="359">
        <v>64</v>
      </c>
    </row>
    <row r="69" spans="1:31" ht="12" customHeight="1" thickBot="1">
      <c r="A69" s="383"/>
      <c r="B69" s="401"/>
      <c r="C69" s="401"/>
      <c r="D69" s="401"/>
      <c r="E69" s="139"/>
      <c r="F69" s="142"/>
      <c r="G69" s="143"/>
      <c r="H69" s="144"/>
      <c r="I69" s="154"/>
      <c r="J69" s="234"/>
      <c r="K69" s="234"/>
      <c r="L69" s="80"/>
      <c r="M69" s="246"/>
      <c r="N69" s="50"/>
      <c r="O69" s="15">
        <f>AH54</f>
        <v>24</v>
      </c>
      <c r="P69" s="249" t="s">
        <v>279</v>
      </c>
      <c r="Q69" s="419">
        <f>AH55</f>
        <v>11</v>
      </c>
      <c r="R69" s="50"/>
      <c r="S69" s="241"/>
      <c r="T69" s="108"/>
      <c r="U69" s="108"/>
      <c r="V69" s="110"/>
      <c r="W69" s="110"/>
      <c r="X69" s="110"/>
      <c r="Y69" s="110"/>
      <c r="Z69" s="110"/>
      <c r="AA69" s="110"/>
      <c r="AB69" s="379"/>
      <c r="AC69" s="379"/>
      <c r="AD69" s="379"/>
      <c r="AE69" s="360"/>
    </row>
    <row r="70" spans="1:21" ht="9" customHeight="1">
      <c r="A70" s="122"/>
      <c r="B70" s="122"/>
      <c r="C70" s="122"/>
      <c r="D70" s="122"/>
      <c r="E70" s="122"/>
      <c r="F70" s="122"/>
      <c r="G70" s="122"/>
      <c r="H70" s="122"/>
      <c r="I70" s="108"/>
      <c r="J70" s="108"/>
      <c r="K70" s="126"/>
      <c r="L70" s="89"/>
      <c r="M70" s="80"/>
      <c r="N70" s="81"/>
      <c r="O70" s="50"/>
      <c r="P70" s="81"/>
      <c r="Q70" s="420"/>
      <c r="R70" s="251"/>
      <c r="S70" s="80"/>
      <c r="T70" s="81"/>
      <c r="U70" s="81"/>
    </row>
    <row r="71" spans="1:31" ht="12.75">
      <c r="A71" s="122"/>
      <c r="B71" s="122"/>
      <c r="C71" s="122"/>
      <c r="D71" s="122"/>
      <c r="E71" s="122"/>
      <c r="F71" s="122"/>
      <c r="G71" s="122"/>
      <c r="H71" s="124">
        <f>HYPERLINK('[1]реквизиты'!$A$22)</f>
      </c>
      <c r="I71" s="125"/>
      <c r="J71" s="125"/>
      <c r="K71" s="126"/>
      <c r="L71" s="127"/>
      <c r="M71" s="127"/>
      <c r="N71" s="126"/>
      <c r="O71" s="126"/>
      <c r="P71" s="128">
        <f>HYPERLINK('[1]реквизиты'!$G$23)</f>
      </c>
      <c r="Q71" s="129"/>
      <c r="R71" s="122"/>
      <c r="S71" s="115"/>
      <c r="T71" s="115"/>
      <c r="U71" s="115"/>
      <c r="V71" s="110"/>
      <c r="W71" s="110"/>
      <c r="X71" s="110"/>
      <c r="Y71" s="110"/>
      <c r="Z71" s="110"/>
      <c r="AA71" s="110"/>
      <c r="AB71" s="110"/>
      <c r="AC71" s="110"/>
      <c r="AD71" s="110"/>
      <c r="AE71" s="110"/>
    </row>
    <row r="72" spans="1:31" ht="12.75">
      <c r="A72" s="115"/>
      <c r="B72" s="115"/>
      <c r="C72" s="115"/>
      <c r="D72" s="115"/>
      <c r="E72" s="115"/>
      <c r="F72" s="115"/>
      <c r="G72" s="115"/>
      <c r="H72" s="115"/>
      <c r="I72" s="115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0"/>
      <c r="Z72" s="110"/>
      <c r="AA72" s="110"/>
      <c r="AB72" s="110"/>
      <c r="AC72" s="110"/>
      <c r="AD72" s="110"/>
      <c r="AE72" s="110"/>
    </row>
    <row r="73" spans="1:31" ht="12.75">
      <c r="A73" s="108" t="str">
        <f>HYPERLINK('[1]реквизиты'!$A$6)</f>
        <v>Гл. судья, судья МК</v>
      </c>
      <c r="B73" s="108"/>
      <c r="C73" s="126"/>
      <c r="D73" s="127"/>
      <c r="E73" s="127"/>
      <c r="F73" s="127"/>
      <c r="G73" s="414" t="str">
        <f>'[2]реквизиты'!$G$7</f>
        <v>Р.М.Бабоян</v>
      </c>
      <c r="H73" s="414"/>
      <c r="I73" s="414"/>
      <c r="J73" s="415" t="str">
        <f>'[2]реквизиты'!$G$8</f>
        <v>/г.Армавир/</v>
      </c>
      <c r="K73" s="415"/>
      <c r="L73" s="126"/>
      <c r="M73" s="127"/>
      <c r="N73" s="127"/>
      <c r="O73" s="127"/>
      <c r="P73" s="110"/>
      <c r="Q73" s="110"/>
      <c r="R73" s="110"/>
      <c r="S73" s="110"/>
      <c r="T73" s="122" t="str">
        <f>'[2]реквизиты'!$A$8</f>
        <v>Гл. секретарь, судья МК</v>
      </c>
      <c r="U73" s="122"/>
      <c r="V73" s="126"/>
      <c r="W73" s="127"/>
      <c r="X73" s="127"/>
      <c r="Y73" s="127"/>
      <c r="Z73" s="110"/>
      <c r="AA73" s="110"/>
      <c r="AB73" s="421" t="str">
        <f>'[2]реквизиты'!$G$9</f>
        <v>Р.М.Закиров</v>
      </c>
      <c r="AC73" s="421"/>
      <c r="AD73" s="415" t="str">
        <f>'[2]реквизиты'!$G$10</f>
        <v>/г.Пермь/</v>
      </c>
      <c r="AE73" s="415"/>
    </row>
    <row r="74" spans="1:31" ht="12.75">
      <c r="A74" s="122"/>
      <c r="B74" s="122"/>
      <c r="C74" s="126"/>
      <c r="D74" s="127"/>
      <c r="E74" s="127"/>
      <c r="F74" s="127"/>
      <c r="G74" s="110"/>
      <c r="H74" s="115"/>
      <c r="I74" s="115"/>
      <c r="J74" s="110"/>
      <c r="K74" s="110"/>
      <c r="L74" s="110"/>
      <c r="M74" s="110"/>
      <c r="N74" s="110"/>
      <c r="O74" s="110"/>
      <c r="P74" s="110"/>
      <c r="Q74" s="126"/>
      <c r="R74" s="115"/>
      <c r="S74" s="115"/>
      <c r="T74" s="125"/>
      <c r="U74" s="108"/>
      <c r="V74" s="126"/>
      <c r="W74" s="126"/>
      <c r="X74" s="127"/>
      <c r="Y74" s="127"/>
      <c r="Z74" s="110"/>
      <c r="AA74" s="110"/>
      <c r="AB74" s="110"/>
      <c r="AC74" s="110"/>
      <c r="AD74" s="110"/>
      <c r="AE74" s="110"/>
    </row>
    <row r="75" spans="9:19" ht="12.75">
      <c r="I75" s="78"/>
      <c r="Q75" s="87"/>
      <c r="R75" s="78"/>
      <c r="S75" s="78"/>
    </row>
    <row r="76" spans="9:19" ht="12.75"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</row>
    <row r="77" spans="1:21" ht="12.75">
      <c r="A77" s="78"/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</row>
    <row r="78" spans="1:21" ht="12.75">
      <c r="A78" s="78"/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</row>
    <row r="79" spans="1:21" ht="12.75">
      <c r="A79" s="78"/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</row>
    <row r="80" spans="1:21" ht="12.75">
      <c r="A80" s="78"/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</row>
    <row r="81" spans="1:21" ht="12.75">
      <c r="A81" s="78"/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</row>
    <row r="82" spans="1:21" ht="12.75">
      <c r="A82" s="78"/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</row>
    <row r="83" spans="1:21" ht="12.75">
      <c r="A83" s="78"/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</row>
    <row r="84" spans="1:21" ht="12.75">
      <c r="A84" s="78"/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</row>
    <row r="85" spans="1:21" ht="12.75">
      <c r="A85" s="78"/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</row>
    <row r="86" spans="1:21" ht="12.75">
      <c r="A86" s="78"/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</row>
    <row r="87" spans="1:21" ht="12.75">
      <c r="A87" s="78"/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</row>
    <row r="88" spans="1:21" ht="12.75">
      <c r="A88" s="78"/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</row>
    <row r="89" spans="1:21" ht="12.75">
      <c r="A89" s="78"/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</row>
    <row r="90" spans="1:21" ht="12.75">
      <c r="A90" s="78"/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</row>
    <row r="91" spans="1:21" ht="12.75">
      <c r="A91" s="78"/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</row>
    <row r="92" spans="1:21" ht="12.75">
      <c r="A92" s="78"/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</row>
    <row r="93" spans="1:21" ht="12.75">
      <c r="A93" s="78"/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</row>
    <row r="94" spans="1:21" ht="12.75">
      <c r="A94" s="78"/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</row>
    <row r="95" spans="1:21" ht="12.75">
      <c r="A95" s="78"/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</row>
    <row r="96" spans="1:21" ht="12.75">
      <c r="A96" s="78"/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</row>
    <row r="97" spans="1:21" ht="12.75">
      <c r="A97" s="78"/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</row>
    <row r="98" spans="1:21" ht="12.75">
      <c r="A98" s="78"/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</row>
    <row r="99" spans="1:21" ht="12.75">
      <c r="A99" s="78"/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</row>
    <row r="100" spans="1:21" ht="12.75">
      <c r="A100" s="78"/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</row>
    <row r="101" spans="1:21" ht="12.75">
      <c r="A101" s="78"/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</row>
    <row r="102" spans="1:21" ht="12.75">
      <c r="A102" s="78"/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</row>
    <row r="103" spans="1:21" ht="12.75">
      <c r="A103" s="78"/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</row>
    <row r="104" spans="1:21" ht="12.75">
      <c r="A104" s="78"/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</row>
    <row r="105" spans="1:21" ht="12.75">
      <c r="A105" s="78"/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</row>
    <row r="106" spans="1:21" ht="12.75">
      <c r="A106" s="78"/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</row>
    <row r="107" spans="1:21" ht="12.75">
      <c r="A107" s="78"/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</row>
    <row r="108" spans="1:21" ht="12.75">
      <c r="A108" s="78"/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</row>
    <row r="109" spans="1:21" ht="12.75">
      <c r="A109" s="78"/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8"/>
      <c r="U109" s="78"/>
    </row>
    <row r="110" spans="1:21" ht="12.75">
      <c r="A110" s="78"/>
      <c r="B110" s="78"/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  <c r="T110" s="78"/>
      <c r="U110" s="78"/>
    </row>
    <row r="111" spans="1:21" ht="12.75">
      <c r="A111" s="78"/>
      <c r="B111" s="78"/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8"/>
      <c r="S111" s="78"/>
      <c r="T111" s="78"/>
      <c r="U111" s="78"/>
    </row>
    <row r="112" spans="1:21" ht="12.75">
      <c r="A112" s="78"/>
      <c r="B112" s="78"/>
      <c r="C112" s="78"/>
      <c r="D112" s="78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  <c r="S112" s="78"/>
      <c r="T112" s="78"/>
      <c r="U112" s="78"/>
    </row>
    <row r="113" spans="1:21" ht="12.75">
      <c r="A113" s="78"/>
      <c r="B113" s="78"/>
      <c r="C113" s="78"/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</row>
    <row r="114" spans="1:21" ht="12.75">
      <c r="A114" s="78"/>
      <c r="B114" s="78"/>
      <c r="C114" s="78"/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  <c r="S114" s="78"/>
      <c r="T114" s="78"/>
      <c r="U114" s="78"/>
    </row>
    <row r="115" spans="1:21" ht="12.75">
      <c r="A115" s="78"/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</row>
    <row r="116" spans="1:21" ht="12.75">
      <c r="A116" s="78"/>
      <c r="B116" s="78"/>
      <c r="C116" s="78"/>
      <c r="D116" s="78"/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78"/>
    </row>
    <row r="117" spans="1:21" ht="12.75">
      <c r="A117" s="78"/>
      <c r="B117" s="78"/>
      <c r="C117" s="78"/>
      <c r="D117" s="78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  <c r="S117" s="78"/>
      <c r="T117" s="78"/>
      <c r="U117" s="78"/>
    </row>
    <row r="118" spans="1:21" ht="12.75">
      <c r="A118" s="78"/>
      <c r="B118" s="78"/>
      <c r="C118" s="78"/>
      <c r="D118" s="78"/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  <c r="R118" s="78"/>
      <c r="S118" s="78"/>
      <c r="T118" s="78"/>
      <c r="U118" s="78"/>
    </row>
    <row r="119" spans="1:21" ht="12.75">
      <c r="A119" s="78"/>
      <c r="B119" s="78"/>
      <c r="C119" s="78"/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  <c r="S119" s="78"/>
      <c r="T119" s="78"/>
      <c r="U119" s="78"/>
    </row>
    <row r="120" spans="1:21" ht="12.75">
      <c r="A120" s="78"/>
      <c r="B120" s="78"/>
      <c r="C120" s="78"/>
      <c r="D120" s="78"/>
      <c r="E120" s="78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  <c r="R120" s="78"/>
      <c r="S120" s="78"/>
      <c r="T120" s="78"/>
      <c r="U120" s="78"/>
    </row>
    <row r="121" spans="1:21" ht="12.75">
      <c r="A121" s="78"/>
      <c r="B121" s="78"/>
      <c r="C121" s="78"/>
      <c r="D121" s="78"/>
      <c r="E121" s="78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  <c r="R121" s="78"/>
      <c r="S121" s="78"/>
      <c r="T121" s="78"/>
      <c r="U121" s="78"/>
    </row>
    <row r="122" spans="1:21" ht="12.75">
      <c r="A122" s="78"/>
      <c r="B122" s="78"/>
      <c r="C122" s="78"/>
      <c r="D122" s="78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T122" s="78"/>
      <c r="U122" s="78"/>
    </row>
    <row r="123" spans="1:21" ht="12.75">
      <c r="A123" s="78"/>
      <c r="B123" s="78"/>
      <c r="C123" s="78"/>
      <c r="D123" s="78"/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</row>
    <row r="124" spans="1:21" ht="12.75">
      <c r="A124" s="78"/>
      <c r="B124" s="78"/>
      <c r="C124" s="78"/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78"/>
      <c r="U124" s="78"/>
    </row>
    <row r="125" spans="1:21" ht="12.75">
      <c r="A125" s="78"/>
      <c r="B125" s="78"/>
      <c r="C125" s="78"/>
      <c r="D125" s="78"/>
      <c r="E125" s="78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  <c r="R125" s="78"/>
      <c r="S125" s="78"/>
      <c r="T125" s="78"/>
      <c r="U125" s="78"/>
    </row>
    <row r="126" spans="1:21" ht="12.75">
      <c r="A126" s="78"/>
      <c r="B126" s="78"/>
      <c r="C126" s="78"/>
      <c r="D126" s="78"/>
      <c r="E126" s="78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 s="78"/>
      <c r="S126" s="78"/>
      <c r="T126" s="78"/>
      <c r="U126" s="78"/>
    </row>
    <row r="127" spans="1:21" ht="12.75">
      <c r="A127" s="78"/>
      <c r="B127" s="78"/>
      <c r="C127" s="78"/>
      <c r="D127" s="78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  <c r="S127" s="78"/>
      <c r="T127" s="78"/>
      <c r="U127" s="78"/>
    </row>
    <row r="128" spans="1:21" ht="12.75">
      <c r="A128" s="78"/>
      <c r="B128" s="78"/>
      <c r="C128" s="78"/>
      <c r="D128" s="78"/>
      <c r="E128" s="78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</row>
    <row r="129" spans="1:21" ht="12.75">
      <c r="A129" s="78"/>
      <c r="B129" s="78"/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</row>
    <row r="130" spans="1:21" ht="12.75">
      <c r="A130" s="78"/>
      <c r="B130" s="78"/>
      <c r="C130" s="78"/>
      <c r="D130" s="78"/>
      <c r="E130" s="78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  <c r="R130" s="78"/>
      <c r="S130" s="78"/>
      <c r="T130" s="78"/>
      <c r="U130" s="78"/>
    </row>
    <row r="131" spans="1:21" ht="12.75">
      <c r="A131" s="78"/>
      <c r="B131" s="78"/>
      <c r="C131" s="78"/>
      <c r="D131" s="78"/>
      <c r="E131" s="78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</row>
    <row r="132" spans="1:21" ht="12.75">
      <c r="A132" s="78"/>
      <c r="B132" s="78"/>
      <c r="C132" s="78"/>
      <c r="D132" s="78"/>
      <c r="E132" s="78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  <c r="R132" s="78"/>
      <c r="S132" s="78"/>
      <c r="T132" s="78"/>
      <c r="U132" s="78"/>
    </row>
    <row r="133" spans="1:21" ht="12.75">
      <c r="A133" s="78"/>
      <c r="B133" s="78"/>
      <c r="C133" s="78"/>
      <c r="D133" s="78"/>
      <c r="E133" s="78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78"/>
      <c r="Q133" s="78"/>
      <c r="R133" s="78"/>
      <c r="S133" s="78"/>
      <c r="T133" s="78"/>
      <c r="U133" s="78"/>
    </row>
    <row r="134" spans="1:21" ht="12.75">
      <c r="A134" s="78"/>
      <c r="B134" s="78"/>
      <c r="C134" s="78"/>
      <c r="D134" s="78"/>
      <c r="E134" s="78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  <c r="R134" s="78"/>
      <c r="S134" s="78"/>
      <c r="T134" s="78"/>
      <c r="U134" s="78"/>
    </row>
    <row r="135" spans="1:21" ht="12.75">
      <c r="A135" s="78"/>
      <c r="B135" s="78"/>
      <c r="C135" s="78"/>
      <c r="D135" s="78"/>
      <c r="E135" s="78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  <c r="R135" s="78"/>
      <c r="S135" s="78"/>
      <c r="T135" s="78"/>
      <c r="U135" s="78"/>
    </row>
    <row r="136" spans="1:21" ht="12.75">
      <c r="A136" s="78"/>
      <c r="B136" s="78"/>
      <c r="C136" s="78"/>
      <c r="D136" s="78"/>
      <c r="E136" s="78"/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78"/>
      <c r="Q136" s="78"/>
      <c r="R136" s="78"/>
      <c r="S136" s="78"/>
      <c r="T136" s="78"/>
      <c r="U136" s="78"/>
    </row>
    <row r="137" spans="1:21" ht="12.75">
      <c r="A137" s="78"/>
      <c r="B137" s="78"/>
      <c r="C137" s="78"/>
      <c r="D137" s="78"/>
      <c r="E137" s="78"/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8"/>
      <c r="R137" s="78"/>
      <c r="S137" s="78"/>
      <c r="T137" s="78"/>
      <c r="U137" s="78"/>
    </row>
    <row r="138" spans="1:21" ht="12.75">
      <c r="A138" s="78"/>
      <c r="B138" s="78"/>
      <c r="C138" s="78"/>
      <c r="D138" s="78"/>
      <c r="E138" s="78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 s="78"/>
      <c r="S138" s="78"/>
      <c r="T138" s="78"/>
      <c r="U138" s="78"/>
    </row>
    <row r="139" spans="1:21" ht="12.75">
      <c r="A139" s="78"/>
      <c r="B139" s="78"/>
      <c r="C139" s="78"/>
      <c r="D139" s="78"/>
      <c r="E139" s="78"/>
      <c r="F139" s="78"/>
      <c r="G139" s="78"/>
      <c r="H139" s="78"/>
      <c r="I139" s="78"/>
      <c r="J139" s="78"/>
      <c r="K139" s="78"/>
      <c r="L139" s="78"/>
      <c r="M139" s="78"/>
      <c r="N139" s="78"/>
      <c r="O139" s="78"/>
      <c r="P139" s="78"/>
      <c r="Q139" s="78"/>
      <c r="R139" s="78"/>
      <c r="S139" s="78"/>
      <c r="T139" s="78"/>
      <c r="U139" s="78"/>
    </row>
    <row r="140" spans="1:21" ht="12.75">
      <c r="A140" s="78"/>
      <c r="B140" s="78"/>
      <c r="C140" s="78"/>
      <c r="D140" s="78"/>
      <c r="E140" s="78"/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78"/>
      <c r="Q140" s="78"/>
      <c r="R140" s="78"/>
      <c r="S140" s="78"/>
      <c r="T140" s="78"/>
      <c r="U140" s="78"/>
    </row>
    <row r="141" spans="1:21" ht="12.75">
      <c r="A141" s="78"/>
      <c r="B141" s="78"/>
      <c r="C141" s="78"/>
      <c r="D141" s="78"/>
      <c r="E141" s="78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  <c r="R141" s="78"/>
      <c r="S141" s="78"/>
      <c r="T141" s="78"/>
      <c r="U141" s="78"/>
    </row>
    <row r="142" spans="1:21" ht="12.75">
      <c r="A142" s="78"/>
      <c r="B142" s="78"/>
      <c r="C142" s="78"/>
      <c r="D142" s="78"/>
      <c r="E142" s="78"/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78"/>
      <c r="Q142" s="78"/>
      <c r="R142" s="78"/>
      <c r="S142" s="78"/>
      <c r="T142" s="78"/>
      <c r="U142" s="78"/>
    </row>
    <row r="143" spans="1:21" ht="12.75">
      <c r="A143" s="78"/>
      <c r="B143" s="78"/>
      <c r="C143" s="78"/>
      <c r="D143" s="78"/>
      <c r="E143" s="78"/>
      <c r="F143" s="78"/>
      <c r="G143" s="78"/>
      <c r="H143" s="78"/>
      <c r="I143" s="78"/>
      <c r="J143" s="78"/>
      <c r="K143" s="78"/>
      <c r="L143" s="78"/>
      <c r="M143" s="78"/>
      <c r="N143" s="78"/>
      <c r="O143" s="78"/>
      <c r="P143" s="78"/>
      <c r="Q143" s="78"/>
      <c r="R143" s="78"/>
      <c r="S143" s="78"/>
      <c r="T143" s="78"/>
      <c r="U143" s="78"/>
    </row>
  </sheetData>
  <sheetProtection sheet="1" formatCells="0" formatColumns="0" formatRows="0" insertColumns="0" insertRows="0" insertHyperlinks="0" deleteColumns="0" deleteRows="0" sort="0" autoFilter="0" pivotTables="0"/>
  <protectedRanges>
    <protectedRange sqref="R19 R68 Q65 P62 O60 N58 N65 O67 P69" name="Диапазон2"/>
    <protectedRange sqref="N9 O11 P13 Q16 P20 O18 N16" name="Диапазон1"/>
  </protectedRanges>
  <mergeCells count="286">
    <mergeCell ref="Q69:Q70"/>
    <mergeCell ref="AB73:AC73"/>
    <mergeCell ref="AD73:AE73"/>
    <mergeCell ref="L63:M63"/>
    <mergeCell ref="L66:M66"/>
    <mergeCell ref="N6:O6"/>
    <mergeCell ref="AB5:AB6"/>
    <mergeCell ref="AC5:AC6"/>
    <mergeCell ref="AD5:AD6"/>
    <mergeCell ref="AB7:AB8"/>
    <mergeCell ref="G73:I73"/>
    <mergeCell ref="J73:K73"/>
    <mergeCell ref="L56:M56"/>
    <mergeCell ref="L57:M57"/>
    <mergeCell ref="L59:M59"/>
    <mergeCell ref="L60:M60"/>
    <mergeCell ref="D19:D20"/>
    <mergeCell ref="D35:D36"/>
    <mergeCell ref="L7:M7"/>
    <mergeCell ref="L8:M8"/>
    <mergeCell ref="L10:M10"/>
    <mergeCell ref="L11:M11"/>
    <mergeCell ref="L14:M14"/>
    <mergeCell ref="L17:M17"/>
    <mergeCell ref="D15:D16"/>
    <mergeCell ref="N48:R49"/>
    <mergeCell ref="N41:R42"/>
    <mergeCell ref="A38:A39"/>
    <mergeCell ref="B38:B39"/>
    <mergeCell ref="C38:C39"/>
    <mergeCell ref="A48:A49"/>
    <mergeCell ref="B48:B49"/>
    <mergeCell ref="C48:C49"/>
    <mergeCell ref="D48:D49"/>
    <mergeCell ref="A46:A47"/>
    <mergeCell ref="A66:A67"/>
    <mergeCell ref="B66:B67"/>
    <mergeCell ref="C66:C67"/>
    <mergeCell ref="D66:D67"/>
    <mergeCell ref="A62:A63"/>
    <mergeCell ref="A68:A69"/>
    <mergeCell ref="B68:B69"/>
    <mergeCell ref="C68:C69"/>
    <mergeCell ref="D68:D69"/>
    <mergeCell ref="B64:B65"/>
    <mergeCell ref="C64:C65"/>
    <mergeCell ref="D64:D65"/>
    <mergeCell ref="B62:B63"/>
    <mergeCell ref="C62:C63"/>
    <mergeCell ref="D62:D63"/>
    <mergeCell ref="A64:A65"/>
    <mergeCell ref="A60:A61"/>
    <mergeCell ref="B60:B61"/>
    <mergeCell ref="C60:C61"/>
    <mergeCell ref="D60:D61"/>
    <mergeCell ref="A58:A59"/>
    <mergeCell ref="B58:B59"/>
    <mergeCell ref="C58:C59"/>
    <mergeCell ref="D58:D59"/>
    <mergeCell ref="A56:A57"/>
    <mergeCell ref="B56:B57"/>
    <mergeCell ref="C56:C57"/>
    <mergeCell ref="D56:D57"/>
    <mergeCell ref="A54:A55"/>
    <mergeCell ref="B54:B55"/>
    <mergeCell ref="C54:C55"/>
    <mergeCell ref="D54:D55"/>
    <mergeCell ref="A52:A53"/>
    <mergeCell ref="B52:B53"/>
    <mergeCell ref="C52:C53"/>
    <mergeCell ref="D52:D53"/>
    <mergeCell ref="A50:A51"/>
    <mergeCell ref="B50:B51"/>
    <mergeCell ref="C50:C51"/>
    <mergeCell ref="D50:D51"/>
    <mergeCell ref="B46:B47"/>
    <mergeCell ref="C46:C47"/>
    <mergeCell ref="D46:D47"/>
    <mergeCell ref="A44:A45"/>
    <mergeCell ref="B44:B45"/>
    <mergeCell ref="C44:C45"/>
    <mergeCell ref="D44:D45"/>
    <mergeCell ref="A42:A43"/>
    <mergeCell ref="B42:B43"/>
    <mergeCell ref="C42:C43"/>
    <mergeCell ref="D42:D43"/>
    <mergeCell ref="A40:A41"/>
    <mergeCell ref="B40:B41"/>
    <mergeCell ref="C40:C41"/>
    <mergeCell ref="C27:C28"/>
    <mergeCell ref="D38:D39"/>
    <mergeCell ref="D40:D41"/>
    <mergeCell ref="D21:D22"/>
    <mergeCell ref="D23:D24"/>
    <mergeCell ref="D25:D26"/>
    <mergeCell ref="D27:D28"/>
    <mergeCell ref="D29:D30"/>
    <mergeCell ref="D31:D32"/>
    <mergeCell ref="D33:D34"/>
    <mergeCell ref="B31:B32"/>
    <mergeCell ref="C31:C32"/>
    <mergeCell ref="A33:A34"/>
    <mergeCell ref="B33:B34"/>
    <mergeCell ref="C33:C34"/>
    <mergeCell ref="A25:A26"/>
    <mergeCell ref="B25:B26"/>
    <mergeCell ref="C25:C26"/>
    <mergeCell ref="A27:A28"/>
    <mergeCell ref="B27:B28"/>
    <mergeCell ref="A23:A24"/>
    <mergeCell ref="B23:B24"/>
    <mergeCell ref="C23:C24"/>
    <mergeCell ref="A35:A36"/>
    <mergeCell ref="B35:B36"/>
    <mergeCell ref="C35:C36"/>
    <mergeCell ref="A29:A30"/>
    <mergeCell ref="B29:B30"/>
    <mergeCell ref="C29:C30"/>
    <mergeCell ref="A31:A32"/>
    <mergeCell ref="A19:A20"/>
    <mergeCell ref="B19:B20"/>
    <mergeCell ref="C19:C20"/>
    <mergeCell ref="A21:A22"/>
    <mergeCell ref="B21:B22"/>
    <mergeCell ref="C21:C22"/>
    <mergeCell ref="A15:A16"/>
    <mergeCell ref="B15:B16"/>
    <mergeCell ref="C15:C16"/>
    <mergeCell ref="A17:A18"/>
    <mergeCell ref="B17:B18"/>
    <mergeCell ref="C17:C18"/>
    <mergeCell ref="A11:A12"/>
    <mergeCell ref="B11:B12"/>
    <mergeCell ref="C11:C12"/>
    <mergeCell ref="A13:A14"/>
    <mergeCell ref="B13:B14"/>
    <mergeCell ref="C13:C14"/>
    <mergeCell ref="J4:T4"/>
    <mergeCell ref="A9:A10"/>
    <mergeCell ref="B9:B10"/>
    <mergeCell ref="C9:C10"/>
    <mergeCell ref="N33:R34"/>
    <mergeCell ref="N27:R28"/>
    <mergeCell ref="D17:D18"/>
    <mergeCell ref="D9:D10"/>
    <mergeCell ref="D11:D12"/>
    <mergeCell ref="D13:D14"/>
    <mergeCell ref="A7:A8"/>
    <mergeCell ref="B7:B8"/>
    <mergeCell ref="C7:C8"/>
    <mergeCell ref="D5:D6"/>
    <mergeCell ref="D7:D8"/>
    <mergeCell ref="B5:B6"/>
    <mergeCell ref="C5:C6"/>
    <mergeCell ref="A5:A6"/>
    <mergeCell ref="AC7:AC8"/>
    <mergeCell ref="AD7:AD8"/>
    <mergeCell ref="AB9:AB10"/>
    <mergeCell ref="AC9:AC10"/>
    <mergeCell ref="AD9:AD10"/>
    <mergeCell ref="AB11:AB12"/>
    <mergeCell ref="AC11:AC12"/>
    <mergeCell ref="AD11:AD12"/>
    <mergeCell ref="AB13:AB14"/>
    <mergeCell ref="AC13:AC14"/>
    <mergeCell ref="AD13:AD14"/>
    <mergeCell ref="AB15:AB16"/>
    <mergeCell ref="AC15:AC16"/>
    <mergeCell ref="AD15:AD16"/>
    <mergeCell ref="AB17:AB18"/>
    <mergeCell ref="AC17:AC18"/>
    <mergeCell ref="AD17:AD18"/>
    <mergeCell ref="AB19:AB20"/>
    <mergeCell ref="AC19:AC20"/>
    <mergeCell ref="AD19:AD20"/>
    <mergeCell ref="AB21:AB22"/>
    <mergeCell ref="AC21:AC22"/>
    <mergeCell ref="AD21:AD22"/>
    <mergeCell ref="AB23:AB24"/>
    <mergeCell ref="AC23:AC24"/>
    <mergeCell ref="AD23:AD24"/>
    <mergeCell ref="AB25:AB26"/>
    <mergeCell ref="AC25:AC26"/>
    <mergeCell ref="AD25:AD26"/>
    <mergeCell ref="AB27:AB28"/>
    <mergeCell ref="AC27:AC28"/>
    <mergeCell ref="AD27:AD28"/>
    <mergeCell ref="AB29:AB30"/>
    <mergeCell ref="AC29:AC30"/>
    <mergeCell ref="AD29:AD30"/>
    <mergeCell ref="AB31:AB32"/>
    <mergeCell ref="AC31:AC32"/>
    <mergeCell ref="AD31:AD32"/>
    <mergeCell ref="AB33:AB34"/>
    <mergeCell ref="AC33:AC34"/>
    <mergeCell ref="AD33:AD34"/>
    <mergeCell ref="AB35:AB36"/>
    <mergeCell ref="AC35:AC36"/>
    <mergeCell ref="AD35:AD36"/>
    <mergeCell ref="AB38:AB39"/>
    <mergeCell ref="AC38:AC39"/>
    <mergeCell ref="AD38:AD39"/>
    <mergeCell ref="AB40:AB41"/>
    <mergeCell ref="AC40:AC41"/>
    <mergeCell ref="AD40:AD41"/>
    <mergeCell ref="AB42:AB43"/>
    <mergeCell ref="AC42:AC43"/>
    <mergeCell ref="AD42:AD43"/>
    <mergeCell ref="AB44:AB45"/>
    <mergeCell ref="AC44:AC45"/>
    <mergeCell ref="AD44:AD45"/>
    <mergeCell ref="AB46:AB47"/>
    <mergeCell ref="AC46:AC47"/>
    <mergeCell ref="AD46:AD47"/>
    <mergeCell ref="AB48:AB49"/>
    <mergeCell ref="AC48:AC49"/>
    <mergeCell ref="AD48:AD49"/>
    <mergeCell ref="AB50:AB51"/>
    <mergeCell ref="AC50:AC51"/>
    <mergeCell ref="AD50:AD51"/>
    <mergeCell ref="AB52:AB53"/>
    <mergeCell ref="AC52:AC53"/>
    <mergeCell ref="AD52:AD53"/>
    <mergeCell ref="AB54:AB55"/>
    <mergeCell ref="AC54:AC55"/>
    <mergeCell ref="AD54:AD55"/>
    <mergeCell ref="AD60:AD61"/>
    <mergeCell ref="AB62:AB63"/>
    <mergeCell ref="AC62:AC63"/>
    <mergeCell ref="AD62:AD63"/>
    <mergeCell ref="AB56:AB57"/>
    <mergeCell ref="AC56:AC57"/>
    <mergeCell ref="AD56:AD57"/>
    <mergeCell ref="AB58:AB59"/>
    <mergeCell ref="AC58:AC59"/>
    <mergeCell ref="AD58:AD59"/>
    <mergeCell ref="AE56:AE57"/>
    <mergeCell ref="AE58:AE59"/>
    <mergeCell ref="AB64:AB65"/>
    <mergeCell ref="AC64:AC65"/>
    <mergeCell ref="AD64:AD65"/>
    <mergeCell ref="AB66:AB67"/>
    <mergeCell ref="AC66:AC67"/>
    <mergeCell ref="AD66:AD67"/>
    <mergeCell ref="AB60:AB61"/>
    <mergeCell ref="AC60:AC61"/>
    <mergeCell ref="AE25:AE26"/>
    <mergeCell ref="AE27:AE28"/>
    <mergeCell ref="AE66:AE67"/>
    <mergeCell ref="AE40:AE41"/>
    <mergeCell ref="AE42:AE43"/>
    <mergeCell ref="AB68:AB69"/>
    <mergeCell ref="AC68:AC69"/>
    <mergeCell ref="AD68:AD69"/>
    <mergeCell ref="AE13:AE14"/>
    <mergeCell ref="AE15:AE16"/>
    <mergeCell ref="AE17:AE18"/>
    <mergeCell ref="AE19:AE20"/>
    <mergeCell ref="AE35:AE36"/>
    <mergeCell ref="AE62:AE63"/>
    <mergeCell ref="AE54:AE55"/>
    <mergeCell ref="AE5:AE6"/>
    <mergeCell ref="AE7:AE8"/>
    <mergeCell ref="AE9:AE10"/>
    <mergeCell ref="AE11:AE12"/>
    <mergeCell ref="AE31:AE32"/>
    <mergeCell ref="AE33:AE34"/>
    <mergeCell ref="AE21:AE22"/>
    <mergeCell ref="AE23:AE24"/>
    <mergeCell ref="AE68:AE69"/>
    <mergeCell ref="F2:Z2"/>
    <mergeCell ref="F1:Z1"/>
    <mergeCell ref="AC1:AE2"/>
    <mergeCell ref="AC3:AE3"/>
    <mergeCell ref="AB4:AE4"/>
    <mergeCell ref="N54:O55"/>
    <mergeCell ref="F3:Z3"/>
    <mergeCell ref="AE60:AE61"/>
    <mergeCell ref="AE38:AE39"/>
    <mergeCell ref="AE44:AE45"/>
    <mergeCell ref="AE29:AE30"/>
    <mergeCell ref="AE64:AE65"/>
    <mergeCell ref="AE46:AE47"/>
    <mergeCell ref="AE48:AE49"/>
    <mergeCell ref="AE50:AE51"/>
    <mergeCell ref="AE52:AE53"/>
  </mergeCells>
  <printOptions horizontalCentered="1" verticalCentered="1"/>
  <pageMargins left="0" right="0" top="0" bottom="0" header="0" footer="0"/>
  <pageSetup horizontalDpi="300" verticalDpi="300" orientation="landscape" paperSize="9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U181"/>
  <sheetViews>
    <sheetView zoomScalePageLayoutView="0" workbookViewId="0" topLeftCell="A1">
      <selection activeCell="K146" sqref="K146:T181"/>
    </sheetView>
  </sheetViews>
  <sheetFormatPr defaultColWidth="9.140625" defaultRowHeight="12.75"/>
  <cols>
    <col min="1" max="1" width="4.7109375" style="0" customWidth="1"/>
    <col min="2" max="2" width="4.140625" style="0" customWidth="1"/>
    <col min="3" max="3" width="22.7109375" style="0" customWidth="1"/>
    <col min="5" max="5" width="6.57421875" style="0" customWidth="1"/>
    <col min="6" max="6" width="14.00390625" style="0" customWidth="1"/>
    <col min="7" max="7" width="24.00390625" style="0" customWidth="1"/>
    <col min="8" max="8" width="4.8515625" style="0" customWidth="1"/>
    <col min="9" max="9" width="5.00390625" style="0" customWidth="1"/>
    <col min="10" max="10" width="6.00390625" style="0" customWidth="1"/>
    <col min="11" max="11" width="4.57421875" style="0" customWidth="1"/>
    <col min="12" max="12" width="5.00390625" style="0" customWidth="1"/>
    <col min="13" max="13" width="22.8515625" style="0" customWidth="1"/>
    <col min="15" max="15" width="7.28125" style="0" customWidth="1"/>
    <col min="16" max="16" width="13.421875" style="0" customWidth="1"/>
    <col min="17" max="17" width="22.421875" style="0" customWidth="1"/>
    <col min="18" max="18" width="4.7109375" style="0" customWidth="1"/>
    <col min="19" max="19" width="5.140625" style="0" customWidth="1"/>
    <col min="20" max="20" width="6.57421875" style="0" customWidth="1"/>
  </cols>
  <sheetData>
    <row r="1" spans="2:20" ht="15.75">
      <c r="B1" s="489" t="s">
        <v>38</v>
      </c>
      <c r="C1" s="489"/>
      <c r="D1" s="489"/>
      <c r="E1" s="489"/>
      <c r="F1" s="489"/>
      <c r="G1" s="489"/>
      <c r="H1" s="489"/>
      <c r="I1" s="489"/>
      <c r="J1" s="489"/>
      <c r="L1" s="489" t="s">
        <v>38</v>
      </c>
      <c r="M1" s="489"/>
      <c r="N1" s="489"/>
      <c r="O1" s="489"/>
      <c r="P1" s="489"/>
      <c r="Q1" s="489"/>
      <c r="R1" s="489"/>
      <c r="S1" s="489"/>
      <c r="T1" s="489"/>
    </row>
    <row r="2" spans="2:20" ht="15.75" hidden="1">
      <c r="B2" s="490" t="str">
        <f>'пр.взв.'!D4</f>
        <v>в.к. св 100 кг.</v>
      </c>
      <c r="C2" s="489"/>
      <c r="D2" s="489"/>
      <c r="E2" s="489"/>
      <c r="F2" s="489"/>
      <c r="G2" s="489"/>
      <c r="H2" s="489"/>
      <c r="I2" s="489"/>
      <c r="J2" s="489"/>
      <c r="L2" s="490" t="str">
        <f>B2</f>
        <v>в.к. св 100 кг.</v>
      </c>
      <c r="M2" s="489"/>
      <c r="N2" s="489"/>
      <c r="O2" s="489"/>
      <c r="P2" s="489"/>
      <c r="Q2" s="489"/>
      <c r="R2" s="489"/>
      <c r="S2" s="489"/>
      <c r="T2" s="489"/>
    </row>
    <row r="3" spans="2:20" ht="16.5" hidden="1" thickBot="1">
      <c r="B3" s="71" t="s">
        <v>39</v>
      </c>
      <c r="C3" s="72" t="s">
        <v>40</v>
      </c>
      <c r="D3" s="73" t="s">
        <v>47</v>
      </c>
      <c r="E3" s="73"/>
      <c r="F3" s="72"/>
      <c r="G3" s="71"/>
      <c r="H3" s="72"/>
      <c r="I3" s="72"/>
      <c r="J3" s="72"/>
      <c r="K3" s="72"/>
      <c r="L3" s="71" t="s">
        <v>1</v>
      </c>
      <c r="M3" s="72" t="s">
        <v>40</v>
      </c>
      <c r="N3" s="73" t="s">
        <v>47</v>
      </c>
      <c r="O3" s="73"/>
      <c r="P3" s="72"/>
      <c r="Q3" s="71"/>
      <c r="R3" s="72"/>
      <c r="S3" s="72"/>
      <c r="T3" s="72"/>
    </row>
    <row r="4" spans="1:20" ht="12.75" customHeight="1" hidden="1">
      <c r="A4" s="471" t="s">
        <v>42</v>
      </c>
      <c r="B4" s="473" t="s">
        <v>3</v>
      </c>
      <c r="C4" s="464" t="s">
        <v>4</v>
      </c>
      <c r="D4" s="434" t="s">
        <v>13</v>
      </c>
      <c r="E4" s="430" t="s">
        <v>14</v>
      </c>
      <c r="F4" s="431"/>
      <c r="G4" s="464" t="s">
        <v>15</v>
      </c>
      <c r="H4" s="466" t="s">
        <v>43</v>
      </c>
      <c r="I4" s="468" t="s">
        <v>16</v>
      </c>
      <c r="J4" s="469" t="s">
        <v>17</v>
      </c>
      <c r="K4" s="471" t="s">
        <v>42</v>
      </c>
      <c r="L4" s="473" t="s">
        <v>3</v>
      </c>
      <c r="M4" s="464" t="s">
        <v>4</v>
      </c>
      <c r="N4" s="434" t="s">
        <v>13</v>
      </c>
      <c r="O4" s="430" t="s">
        <v>14</v>
      </c>
      <c r="P4" s="431"/>
      <c r="Q4" s="464" t="s">
        <v>15</v>
      </c>
      <c r="R4" s="466" t="s">
        <v>43</v>
      </c>
      <c r="S4" s="468" t="s">
        <v>16</v>
      </c>
      <c r="T4" s="469" t="s">
        <v>17</v>
      </c>
    </row>
    <row r="5" spans="1:20" ht="13.5" customHeight="1" hidden="1" thickBot="1">
      <c r="A5" s="472"/>
      <c r="B5" s="488" t="s">
        <v>45</v>
      </c>
      <c r="C5" s="465"/>
      <c r="D5" s="435"/>
      <c r="E5" s="432"/>
      <c r="F5" s="433"/>
      <c r="G5" s="465"/>
      <c r="H5" s="467"/>
      <c r="I5" s="437"/>
      <c r="J5" s="470" t="s">
        <v>46</v>
      </c>
      <c r="K5" s="472"/>
      <c r="L5" s="488" t="s">
        <v>45</v>
      </c>
      <c r="M5" s="465"/>
      <c r="N5" s="435"/>
      <c r="O5" s="432"/>
      <c r="P5" s="433"/>
      <c r="Q5" s="465"/>
      <c r="R5" s="467"/>
      <c r="S5" s="437"/>
      <c r="T5" s="470" t="s">
        <v>46</v>
      </c>
    </row>
    <row r="6" spans="1:20" ht="12.75" customHeight="1" hidden="1">
      <c r="A6" s="485">
        <v>1</v>
      </c>
      <c r="B6" s="495">
        <v>1</v>
      </c>
      <c r="C6" s="497" t="str">
        <f>VLOOKUP(B6,'пр.взв.'!B$7:H$134,2,FALSE)</f>
        <v>ДЕМЕНКОВ Александр Михайлович</v>
      </c>
      <c r="D6" s="429" t="str">
        <f>VLOOKUP(B6,'пр.взв.'!B7:H134,3,FALSE)</f>
        <v>14.09.97, КМС</v>
      </c>
      <c r="E6" s="429" t="str">
        <f>VLOOKUP(C6,'пр.взв.'!C7:I134,3,FALSE)</f>
        <v>МОС</v>
      </c>
      <c r="F6" s="429" t="str">
        <f>VLOOKUP(B6,'пр.взв.'!B1:H134,5,FALSE)</f>
        <v>Москва, Д</v>
      </c>
      <c r="G6" s="459"/>
      <c r="H6" s="460"/>
      <c r="I6" s="322"/>
      <c r="J6" s="274"/>
      <c r="K6" s="444">
        <v>17</v>
      </c>
      <c r="L6" s="495">
        <v>2</v>
      </c>
      <c r="M6" s="497" t="str">
        <f>VLOOKUP(L6,'пр.взв.'!B$7:H$134,2,FALSE)</f>
        <v>МЕДВЕДЕВ Виктор Алексеевич</v>
      </c>
      <c r="N6" s="429" t="str">
        <f>VLOOKUP(L6,'пр.взв.'!B7:H134,3,FALSE)</f>
        <v>16.06.94 мс</v>
      </c>
      <c r="O6" s="429" t="str">
        <f>VLOOKUP(M6,'пр.взв.'!C7:I134,3,FALSE)</f>
        <v>ЦФО</v>
      </c>
      <c r="P6" s="429" t="str">
        <f>VLOOKUP(L6,'пр.взв.'!B7:H134,5,FALSE)</f>
        <v>Московская, Мытищи</v>
      </c>
      <c r="Q6" s="459"/>
      <c r="R6" s="460"/>
      <c r="S6" s="322"/>
      <c r="T6" s="274"/>
    </row>
    <row r="7" spans="1:20" ht="12.75" customHeight="1" hidden="1">
      <c r="A7" s="486"/>
      <c r="B7" s="496"/>
      <c r="C7" s="498"/>
      <c r="D7" s="425"/>
      <c r="E7" s="425"/>
      <c r="F7" s="425"/>
      <c r="G7" s="425"/>
      <c r="H7" s="425"/>
      <c r="I7" s="300"/>
      <c r="J7" s="282"/>
      <c r="K7" s="445"/>
      <c r="L7" s="496"/>
      <c r="M7" s="498"/>
      <c r="N7" s="425"/>
      <c r="O7" s="425"/>
      <c r="P7" s="425"/>
      <c r="Q7" s="425"/>
      <c r="R7" s="425"/>
      <c r="S7" s="300"/>
      <c r="T7" s="282"/>
    </row>
    <row r="8" spans="1:20" ht="12.75" customHeight="1" hidden="1">
      <c r="A8" s="486"/>
      <c r="B8" s="491">
        <v>33</v>
      </c>
      <c r="C8" s="493" t="str">
        <f>VLOOKUP(B8,'пр.взв.'!B$7:H$134,2,FALSE)</f>
        <v>ТАМБИЕВ Аслангери Артурович</v>
      </c>
      <c r="D8" s="422" t="str">
        <f>VLOOKUP(B8,'пр.взв.'!B2:H136,3,FALSE)</f>
        <v>11.07.92, КМС</v>
      </c>
      <c r="E8" s="422" t="str">
        <f>VLOOKUP(C8,'пр.взв.'!C2:I136,3,FALSE)</f>
        <v>СПБ</v>
      </c>
      <c r="F8" s="422" t="str">
        <f>VLOOKUP(B8,'пр.взв.'!B4:H136,5,FALSE)</f>
        <v>С-Петербург, МО</v>
      </c>
      <c r="G8" s="426"/>
      <c r="H8" s="426"/>
      <c r="I8" s="273"/>
      <c r="J8" s="273"/>
      <c r="K8" s="445"/>
      <c r="L8" s="491">
        <v>34</v>
      </c>
      <c r="M8" s="493" t="e">
        <f>VLOOKUP(L8,'пр.взв.'!B$2:H$136,2,FALSE)</f>
        <v>#N/A</v>
      </c>
      <c r="N8" s="422" t="e">
        <f>VLOOKUP(L8,'пр.взв.'!B1:H136,3,FALSE)</f>
        <v>#N/A</v>
      </c>
      <c r="O8" s="422" t="e">
        <f>VLOOKUP(M8,'пр.взв.'!C1:I136,3,FALSE)</f>
        <v>#N/A</v>
      </c>
      <c r="P8" s="422" t="e">
        <f>VLOOKUP(L8,'пр.взв.'!B9:H136,5,FALSE)</f>
        <v>#N/A</v>
      </c>
      <c r="Q8" s="426"/>
      <c r="R8" s="426"/>
      <c r="S8" s="273"/>
      <c r="T8" s="273"/>
    </row>
    <row r="9" spans="1:20" ht="13.5" customHeight="1" hidden="1" thickBot="1">
      <c r="A9" s="487"/>
      <c r="B9" s="492"/>
      <c r="C9" s="494"/>
      <c r="D9" s="423"/>
      <c r="E9" s="423"/>
      <c r="F9" s="423"/>
      <c r="G9" s="427"/>
      <c r="H9" s="427"/>
      <c r="I9" s="437"/>
      <c r="J9" s="437"/>
      <c r="K9" s="446"/>
      <c r="L9" s="492"/>
      <c r="M9" s="494"/>
      <c r="N9" s="423"/>
      <c r="O9" s="423"/>
      <c r="P9" s="423"/>
      <c r="Q9" s="427"/>
      <c r="R9" s="427"/>
      <c r="S9" s="437"/>
      <c r="T9" s="437"/>
    </row>
    <row r="10" spans="1:20" ht="12.75" customHeight="1" hidden="1">
      <c r="A10" s="485">
        <v>2</v>
      </c>
      <c r="B10" s="495">
        <v>17</v>
      </c>
      <c r="C10" s="497" t="str">
        <f>VLOOKUP(B10,'пр.взв.'!B$7:H$134,2,FALSE)</f>
        <v>САРИБЕКЯН Павел Андреевич</v>
      </c>
      <c r="D10" s="424" t="str">
        <f>VLOOKUP(B10,'пр.взв.'!B1:H138,3,FALSE)</f>
        <v>13.07.92, МС</v>
      </c>
      <c r="E10" s="424" t="str">
        <f>VLOOKUP(C10,'пр.взв.'!C1:I138,3,FALSE)</f>
        <v>ЮФО</v>
      </c>
      <c r="F10" s="429" t="str">
        <f>VLOOKUP(B10,'пр.взв.'!B6:H138,5,FALSE)</f>
        <v>Краснодарский край Курганинск, Д</v>
      </c>
      <c r="G10" s="440"/>
      <c r="H10" s="428"/>
      <c r="I10" s="441"/>
      <c r="J10" s="424"/>
      <c r="K10" s="444">
        <v>18</v>
      </c>
      <c r="L10" s="495">
        <v>18</v>
      </c>
      <c r="M10" s="497" t="str">
        <f>VLOOKUP(L10,'пр.взв.'!B$7:H$134,2,FALSE)</f>
        <v>ХАПЦЕВ Артур Русланович</v>
      </c>
      <c r="N10" s="424" t="str">
        <f>VLOOKUP(L10,'пр.взв.'!B1:H138,3,FALSE)</f>
        <v>15.01.88, МС</v>
      </c>
      <c r="O10" s="424" t="str">
        <f>VLOOKUP(M10,'пр.взв.'!C1:I138,3,FALSE)</f>
        <v>УФО</v>
      </c>
      <c r="P10" s="429" t="str">
        <f>VLOOKUP(L10,'пр.взв.'!B11:H138,5,FALSE)</f>
        <v>Тюменская, Тюмень, Д</v>
      </c>
      <c r="Q10" s="440"/>
      <c r="R10" s="428"/>
      <c r="S10" s="441"/>
      <c r="T10" s="424"/>
    </row>
    <row r="11" spans="1:20" ht="12.75" customHeight="1" hidden="1">
      <c r="A11" s="486"/>
      <c r="B11" s="496"/>
      <c r="C11" s="498"/>
      <c r="D11" s="425"/>
      <c r="E11" s="425"/>
      <c r="F11" s="425"/>
      <c r="G11" s="425"/>
      <c r="H11" s="425"/>
      <c r="I11" s="300"/>
      <c r="J11" s="282"/>
      <c r="K11" s="445"/>
      <c r="L11" s="496"/>
      <c r="M11" s="498"/>
      <c r="N11" s="425"/>
      <c r="O11" s="425"/>
      <c r="P11" s="425"/>
      <c r="Q11" s="425"/>
      <c r="R11" s="425"/>
      <c r="S11" s="300"/>
      <c r="T11" s="282"/>
    </row>
    <row r="12" spans="1:20" ht="12.75" customHeight="1" hidden="1">
      <c r="A12" s="486"/>
      <c r="B12" s="491">
        <v>49</v>
      </c>
      <c r="C12" s="493" t="e">
        <f>VLOOKUP(B12,'пр.взв.'!B$7:H$134,2,FALSE)</f>
        <v>#N/A</v>
      </c>
      <c r="D12" s="422" t="e">
        <f>VLOOKUP(B12,'пр.взв.'!B1:H140,3,FALSE)</f>
        <v>#N/A</v>
      </c>
      <c r="E12" s="422" t="e">
        <f>VLOOKUP(C12,'пр.взв.'!C1:I140,3,FALSE)</f>
        <v>#N/A</v>
      </c>
      <c r="F12" s="422" t="e">
        <f>VLOOKUP(B12,'пр.взв.'!B8:H140,5,FALSE)</f>
        <v>#N/A</v>
      </c>
      <c r="G12" s="426"/>
      <c r="H12" s="426"/>
      <c r="I12" s="273"/>
      <c r="J12" s="273"/>
      <c r="K12" s="445"/>
      <c r="L12" s="491">
        <v>50</v>
      </c>
      <c r="M12" s="493" t="e">
        <f>VLOOKUP(L12,'пр.взв.'!B$2:H$136,2,FALSE)</f>
        <v>#N/A</v>
      </c>
      <c r="N12" s="422" t="e">
        <f>VLOOKUP(L12,'пр.взв.'!B1:H140,3,FALSE)</f>
        <v>#N/A</v>
      </c>
      <c r="O12" s="422" t="e">
        <f>VLOOKUP(M12,'пр.взв.'!C1:I140,3,FALSE)</f>
        <v>#N/A</v>
      </c>
      <c r="P12" s="422" t="e">
        <f>VLOOKUP(L12,'пр.взв.'!B13:H140,5,FALSE)</f>
        <v>#N/A</v>
      </c>
      <c r="Q12" s="426"/>
      <c r="R12" s="426"/>
      <c r="S12" s="273"/>
      <c r="T12" s="273"/>
    </row>
    <row r="13" spans="1:20" ht="13.5" customHeight="1" hidden="1" thickBot="1">
      <c r="A13" s="487"/>
      <c r="B13" s="492"/>
      <c r="C13" s="494"/>
      <c r="D13" s="423"/>
      <c r="E13" s="423"/>
      <c r="F13" s="423"/>
      <c r="G13" s="427"/>
      <c r="H13" s="427"/>
      <c r="I13" s="437"/>
      <c r="J13" s="437"/>
      <c r="K13" s="446"/>
      <c r="L13" s="492"/>
      <c r="M13" s="494"/>
      <c r="N13" s="423"/>
      <c r="O13" s="423"/>
      <c r="P13" s="423"/>
      <c r="Q13" s="427"/>
      <c r="R13" s="427"/>
      <c r="S13" s="437"/>
      <c r="T13" s="437"/>
    </row>
    <row r="14" spans="1:20" ht="12.75" customHeight="1" hidden="1">
      <c r="A14" s="485">
        <v>3</v>
      </c>
      <c r="B14" s="495">
        <v>9</v>
      </c>
      <c r="C14" s="497" t="str">
        <f>VLOOKUP(B14,'пр.взв.'!B$7:H$134,2,FALSE)</f>
        <v>ДЬЯКОНОВ Иван Викторович</v>
      </c>
      <c r="D14" s="429" t="str">
        <f>VLOOKUP(B14,'пр.взв.'!B1:H142,3,FALSE)</f>
        <v>27.08.86 мс</v>
      </c>
      <c r="E14" s="429" t="str">
        <f>VLOOKUP(C14,'пр.взв.'!C1:I142,3,FALSE)</f>
        <v>СЗФО</v>
      </c>
      <c r="F14" s="429" t="str">
        <f>VLOOKUP(B14,'пр.взв.'!B10:H142,5,FALSE)</f>
        <v> Коми Сыктывкар МО</v>
      </c>
      <c r="G14" s="459"/>
      <c r="H14" s="460"/>
      <c r="I14" s="322"/>
      <c r="J14" s="274"/>
      <c r="K14" s="444">
        <v>19</v>
      </c>
      <c r="L14" s="495">
        <v>10</v>
      </c>
      <c r="M14" s="497" t="str">
        <f>VLOOKUP(L14,'пр.взв.'!B$7:H$134,2,FALSE)</f>
        <v>МЕРЕТУКОВ Заур Довлетбиевич</v>
      </c>
      <c r="N14" s="429" t="str">
        <f>VLOOKUP(L14,'пр.взв.'!B1:H142,3,FALSE)</f>
        <v>08.10.93, КМС</v>
      </c>
      <c r="O14" s="429" t="str">
        <f>VLOOKUP(M14,'пр.взв.'!C1:I142,3,FALSE)</f>
        <v>МОС</v>
      </c>
      <c r="P14" s="429" t="str">
        <f>VLOOKUP(L14,'пр.взв.'!B15:H142,5,FALSE)</f>
        <v>Москва</v>
      </c>
      <c r="Q14" s="459"/>
      <c r="R14" s="460"/>
      <c r="S14" s="322"/>
      <c r="T14" s="274"/>
    </row>
    <row r="15" spans="1:20" ht="12.75" customHeight="1" hidden="1">
      <c r="A15" s="486"/>
      <c r="B15" s="496"/>
      <c r="C15" s="498"/>
      <c r="D15" s="425"/>
      <c r="E15" s="425"/>
      <c r="F15" s="425"/>
      <c r="G15" s="425"/>
      <c r="H15" s="425"/>
      <c r="I15" s="300"/>
      <c r="J15" s="282"/>
      <c r="K15" s="445"/>
      <c r="L15" s="496"/>
      <c r="M15" s="498"/>
      <c r="N15" s="425"/>
      <c r="O15" s="425"/>
      <c r="P15" s="425"/>
      <c r="Q15" s="425"/>
      <c r="R15" s="425"/>
      <c r="S15" s="300"/>
      <c r="T15" s="282"/>
    </row>
    <row r="16" spans="1:20" ht="12.75" customHeight="1" hidden="1">
      <c r="A16" s="486"/>
      <c r="B16" s="491">
        <v>41</v>
      </c>
      <c r="C16" s="493" t="e">
        <f>VLOOKUP(B16,'пр.взв.'!B$7:H$134,2,FALSE)</f>
        <v>#N/A</v>
      </c>
      <c r="D16" s="422" t="e">
        <f>VLOOKUP(B16,'пр.взв.'!B1:H144,3,FALSE)</f>
        <v>#N/A</v>
      </c>
      <c r="E16" s="422" t="e">
        <f>VLOOKUP(C16,'пр.взв.'!C1:I144,3,FALSE)</f>
        <v>#N/A</v>
      </c>
      <c r="F16" s="422" t="e">
        <f>VLOOKUP(B16,'пр.взв.'!B12:H144,5,FALSE)</f>
        <v>#N/A</v>
      </c>
      <c r="G16" s="426"/>
      <c r="H16" s="426"/>
      <c r="I16" s="273"/>
      <c r="J16" s="273"/>
      <c r="K16" s="445"/>
      <c r="L16" s="491">
        <v>42</v>
      </c>
      <c r="M16" s="493" t="e">
        <f>VLOOKUP(L16,'пр.взв.'!B$2:H$136,2,FALSE)</f>
        <v>#N/A</v>
      </c>
      <c r="N16" s="422" t="e">
        <f>VLOOKUP(L16,'пр.взв.'!B1:H144,3,FALSE)</f>
        <v>#N/A</v>
      </c>
      <c r="O16" s="422" t="e">
        <f>VLOOKUP(M16,'пр.взв.'!C1:I144,3,FALSE)</f>
        <v>#N/A</v>
      </c>
      <c r="P16" s="422" t="e">
        <f>VLOOKUP(L16,'пр.взв.'!B17:H144,5,FALSE)</f>
        <v>#N/A</v>
      </c>
      <c r="Q16" s="426"/>
      <c r="R16" s="426"/>
      <c r="S16" s="273"/>
      <c r="T16" s="273"/>
    </row>
    <row r="17" spans="1:20" ht="13.5" customHeight="1" hidden="1" thickBot="1">
      <c r="A17" s="487"/>
      <c r="B17" s="492"/>
      <c r="C17" s="494"/>
      <c r="D17" s="423"/>
      <c r="E17" s="423"/>
      <c r="F17" s="423"/>
      <c r="G17" s="427"/>
      <c r="H17" s="427"/>
      <c r="I17" s="437"/>
      <c r="J17" s="437"/>
      <c r="K17" s="446"/>
      <c r="L17" s="492"/>
      <c r="M17" s="494"/>
      <c r="N17" s="423"/>
      <c r="O17" s="423"/>
      <c r="P17" s="423"/>
      <c r="Q17" s="427"/>
      <c r="R17" s="427"/>
      <c r="S17" s="437"/>
      <c r="T17" s="437"/>
    </row>
    <row r="18" spans="1:20" ht="12.75" customHeight="1" hidden="1">
      <c r="A18" s="485">
        <v>4</v>
      </c>
      <c r="B18" s="495">
        <v>25</v>
      </c>
      <c r="C18" s="497" t="str">
        <f>VLOOKUP(B18,'пр.взв.'!B$7:H$134,2,FALSE)</f>
        <v>ЧЕРНЫШОВ Антон Геннадьевич</v>
      </c>
      <c r="D18" s="424" t="str">
        <f>VLOOKUP(B18,'пр.взв.'!B1:H146,3,FALSE)</f>
        <v>15.11.92, МС</v>
      </c>
      <c r="E18" s="424" t="str">
        <f>VLOOKUP(C18,'пр.взв.'!C1:I146,3,FALSE)</f>
        <v>МОС</v>
      </c>
      <c r="F18" s="429" t="str">
        <f>VLOOKUP(B18,'пр.взв.'!B14:H146,5,FALSE)</f>
        <v>Москва, ЛОК</v>
      </c>
      <c r="G18" s="440"/>
      <c r="H18" s="428"/>
      <c r="I18" s="441"/>
      <c r="J18" s="424"/>
      <c r="K18" s="444">
        <v>20</v>
      </c>
      <c r="L18" s="495">
        <v>26</v>
      </c>
      <c r="M18" s="497" t="str">
        <f>VLOOKUP(L18,'пр.взв.'!B$7:H$134,2,FALSE)</f>
        <v>АРСЛАНОВ Рустем Разитович</v>
      </c>
      <c r="N18" s="424" t="str">
        <f>VLOOKUP(L18,'пр.взв.'!B1:H146,3,FALSE)</f>
        <v>31.07.80 мс</v>
      </c>
      <c r="O18" s="424" t="str">
        <f>VLOOKUP(M18,'пр.взв.'!C1:I146,3,FALSE)</f>
        <v>ПФО</v>
      </c>
      <c r="P18" s="429" t="str">
        <f>VLOOKUP(L18,'пр.взв.'!B19:H146,5,FALSE)</f>
        <v>Башкортостан Уфа Д</v>
      </c>
      <c r="Q18" s="425"/>
      <c r="R18" s="499"/>
      <c r="S18" s="300"/>
      <c r="T18" s="422"/>
    </row>
    <row r="19" spans="1:20" ht="12.75" customHeight="1" hidden="1">
      <c r="A19" s="486"/>
      <c r="B19" s="496"/>
      <c r="C19" s="498"/>
      <c r="D19" s="425"/>
      <c r="E19" s="425"/>
      <c r="F19" s="425"/>
      <c r="G19" s="425"/>
      <c r="H19" s="425"/>
      <c r="I19" s="300"/>
      <c r="J19" s="282"/>
      <c r="K19" s="445"/>
      <c r="L19" s="496"/>
      <c r="M19" s="498"/>
      <c r="N19" s="425"/>
      <c r="O19" s="425"/>
      <c r="P19" s="425"/>
      <c r="Q19" s="425"/>
      <c r="R19" s="425"/>
      <c r="S19" s="300"/>
      <c r="T19" s="282"/>
    </row>
    <row r="20" spans="1:20" ht="12.75" customHeight="1" hidden="1">
      <c r="A20" s="486"/>
      <c r="B20" s="491">
        <v>57</v>
      </c>
      <c r="C20" s="493" t="e">
        <f>VLOOKUP(B20,'пр.взв.'!B$7:H$134,2,FALSE)</f>
        <v>#N/A</v>
      </c>
      <c r="D20" s="422" t="e">
        <f>VLOOKUP(B20,'пр.взв.'!B2:H148,3,FALSE)</f>
        <v>#N/A</v>
      </c>
      <c r="E20" s="422" t="e">
        <f>VLOOKUP(C20,'пр.взв.'!C2:I148,3,FALSE)</f>
        <v>#N/A</v>
      </c>
      <c r="F20" s="422" t="e">
        <f>VLOOKUP(B20,'пр.взв.'!B16:H148,5,FALSE)</f>
        <v>#N/A</v>
      </c>
      <c r="G20" s="426"/>
      <c r="H20" s="426"/>
      <c r="I20" s="273"/>
      <c r="J20" s="273"/>
      <c r="K20" s="445"/>
      <c r="L20" s="491">
        <v>58</v>
      </c>
      <c r="M20" s="493" t="e">
        <f>VLOOKUP(L20,'пр.взв.'!B$2:H$136,2,FALSE)</f>
        <v>#N/A</v>
      </c>
      <c r="N20" s="422" t="e">
        <f>VLOOKUP(L20,'пр.взв.'!B2:H148,3,FALSE)</f>
        <v>#N/A</v>
      </c>
      <c r="O20" s="422" t="e">
        <f>VLOOKUP(M20,'пр.взв.'!C2:I148,3,FALSE)</f>
        <v>#N/A</v>
      </c>
      <c r="P20" s="422" t="e">
        <f>VLOOKUP(L20,'пр.взв.'!B21:H148,5,FALSE)</f>
        <v>#N/A</v>
      </c>
      <c r="Q20" s="426"/>
      <c r="R20" s="426"/>
      <c r="S20" s="273"/>
      <c r="T20" s="273"/>
    </row>
    <row r="21" spans="1:20" ht="13.5" customHeight="1" hidden="1" thickBot="1">
      <c r="A21" s="487"/>
      <c r="B21" s="492"/>
      <c r="C21" s="494"/>
      <c r="D21" s="423"/>
      <c r="E21" s="423"/>
      <c r="F21" s="423"/>
      <c r="G21" s="427"/>
      <c r="H21" s="427"/>
      <c r="I21" s="437"/>
      <c r="J21" s="437"/>
      <c r="K21" s="446"/>
      <c r="L21" s="492"/>
      <c r="M21" s="494"/>
      <c r="N21" s="423"/>
      <c r="O21" s="423"/>
      <c r="P21" s="423"/>
      <c r="Q21" s="427"/>
      <c r="R21" s="427"/>
      <c r="S21" s="437"/>
      <c r="T21" s="437"/>
    </row>
    <row r="22" spans="1:20" ht="12.75" customHeight="1" hidden="1">
      <c r="A22" s="486">
        <v>5</v>
      </c>
      <c r="B22" s="495">
        <v>5</v>
      </c>
      <c r="C22" s="497" t="str">
        <f>VLOOKUP(B22,'пр.взв.'!B$7:H$134,2,FALSE)</f>
        <v>ГЕНИЯТОВ Глеб Эдуардович</v>
      </c>
      <c r="D22" s="429" t="str">
        <f>VLOOKUP(B22,'пр.взв.'!B2:H150,3,FALSE)</f>
        <v>29.04.85, МС</v>
      </c>
      <c r="E22" s="429" t="str">
        <f>VLOOKUP(C22,'пр.взв.'!C2:I150,3,FALSE)</f>
        <v>УФО</v>
      </c>
      <c r="F22" s="429" t="str">
        <f>VLOOKUP(B22,'пр.взв.'!B1:H150,5,FALSE)</f>
        <v>Свердловская, Екатеринбург, ПР</v>
      </c>
      <c r="G22" s="459"/>
      <c r="H22" s="460"/>
      <c r="I22" s="322"/>
      <c r="J22" s="274"/>
      <c r="K22" s="444">
        <v>21</v>
      </c>
      <c r="L22" s="495">
        <v>6</v>
      </c>
      <c r="M22" s="497" t="str">
        <f>VLOOKUP(L22,'пр.взв.'!B$7:H$134,2,FALSE)</f>
        <v>КУЧУМОВ Александр Николаевич</v>
      </c>
      <c r="N22" s="429" t="str">
        <f>VLOOKUP(L22,'пр.взв.'!B2:H150,3,FALSE)</f>
        <v>06.11.90, мсмк</v>
      </c>
      <c r="O22" s="429" t="str">
        <f>VLOOKUP(M22,'пр.взв.'!C2:I150,3,FALSE)</f>
        <v>МОС</v>
      </c>
      <c r="P22" s="429" t="str">
        <f>VLOOKUP(L22,'пр.взв.'!B2:H150,5,FALSE)</f>
        <v>г. Москва, Д</v>
      </c>
      <c r="Q22" s="459"/>
      <c r="R22" s="460"/>
      <c r="S22" s="322"/>
      <c r="T22" s="274"/>
    </row>
    <row r="23" spans="1:20" ht="12.75" customHeight="1" hidden="1">
      <c r="A23" s="486"/>
      <c r="B23" s="496"/>
      <c r="C23" s="498"/>
      <c r="D23" s="425"/>
      <c r="E23" s="425"/>
      <c r="F23" s="425"/>
      <c r="G23" s="425"/>
      <c r="H23" s="425"/>
      <c r="I23" s="300"/>
      <c r="J23" s="282"/>
      <c r="K23" s="445"/>
      <c r="L23" s="496"/>
      <c r="M23" s="498"/>
      <c r="N23" s="425"/>
      <c r="O23" s="425"/>
      <c r="P23" s="425"/>
      <c r="Q23" s="425"/>
      <c r="R23" s="425"/>
      <c r="S23" s="300"/>
      <c r="T23" s="282"/>
    </row>
    <row r="24" spans="1:20" ht="12.75" customHeight="1" hidden="1">
      <c r="A24" s="486"/>
      <c r="B24" s="491">
        <v>37</v>
      </c>
      <c r="C24" s="493" t="e">
        <f>VLOOKUP(B24,'пр.взв.'!B$7:H$134,2,FALSE)</f>
        <v>#N/A</v>
      </c>
      <c r="D24" s="422" t="e">
        <f>VLOOKUP(B24,'пр.взв.'!B2:H152,3,FALSE)</f>
        <v>#N/A</v>
      </c>
      <c r="E24" s="422" t="e">
        <f>VLOOKUP(C24,'пр.взв.'!C2:I152,3,FALSE)</f>
        <v>#N/A</v>
      </c>
      <c r="F24" s="422" t="e">
        <f>VLOOKUP(B24,'пр.взв.'!B20:H152,5,FALSE)</f>
        <v>#N/A</v>
      </c>
      <c r="G24" s="426"/>
      <c r="H24" s="426"/>
      <c r="I24" s="273"/>
      <c r="J24" s="273"/>
      <c r="K24" s="445"/>
      <c r="L24" s="491">
        <v>38</v>
      </c>
      <c r="M24" s="493" t="e">
        <f>VLOOKUP(L24,'пр.взв.'!B$2:H$136,2,FALSE)</f>
        <v>#N/A</v>
      </c>
      <c r="N24" s="422" t="e">
        <f>VLOOKUP(L24,'пр.взв.'!B2:H152,3,FALSE)</f>
        <v>#N/A</v>
      </c>
      <c r="O24" s="422" t="e">
        <f>VLOOKUP(M24,'пр.взв.'!C2:I152,3,FALSE)</f>
        <v>#N/A</v>
      </c>
      <c r="P24" s="422" t="e">
        <f>VLOOKUP(L24,'пр.взв.'!B25:H152,5,FALSE)</f>
        <v>#N/A</v>
      </c>
      <c r="Q24" s="426"/>
      <c r="R24" s="426"/>
      <c r="S24" s="273"/>
      <c r="T24" s="273"/>
    </row>
    <row r="25" spans="1:20" ht="13.5" customHeight="1" hidden="1" thickBot="1">
      <c r="A25" s="487"/>
      <c r="B25" s="492"/>
      <c r="C25" s="494"/>
      <c r="D25" s="423"/>
      <c r="E25" s="423"/>
      <c r="F25" s="423"/>
      <c r="G25" s="427"/>
      <c r="H25" s="427"/>
      <c r="I25" s="437"/>
      <c r="J25" s="437"/>
      <c r="K25" s="446"/>
      <c r="L25" s="492"/>
      <c r="M25" s="494"/>
      <c r="N25" s="423"/>
      <c r="O25" s="423"/>
      <c r="P25" s="423"/>
      <c r="Q25" s="427"/>
      <c r="R25" s="427"/>
      <c r="S25" s="437"/>
      <c r="T25" s="437"/>
    </row>
    <row r="26" spans="1:20" ht="12.75" customHeight="1" hidden="1">
      <c r="A26" s="485">
        <v>6</v>
      </c>
      <c r="B26" s="495">
        <v>21</v>
      </c>
      <c r="C26" s="497" t="str">
        <f>VLOOKUP(B26,'пр.взв.'!B$7:H$134,2,FALSE)</f>
        <v>ЛУКЬЯНОВ Святослав Сергеевич</v>
      </c>
      <c r="D26" s="424" t="str">
        <f>VLOOKUP(B26,'пр.взв.'!B2:H154,3,FALSE)</f>
        <v>26.04.91 мс</v>
      </c>
      <c r="E26" s="424" t="str">
        <f>VLOOKUP(C26,'пр.взв.'!C2:I154,3,FALSE)</f>
        <v>КФО</v>
      </c>
      <c r="F26" s="429" t="str">
        <f>VLOOKUP(B26,'пр.взв.'!B22:H154,5,FALSE)</f>
        <v>Р. Крым, Евпатория</v>
      </c>
      <c r="G26" s="440"/>
      <c r="H26" s="428"/>
      <c r="I26" s="441"/>
      <c r="J26" s="424"/>
      <c r="K26" s="444">
        <v>22</v>
      </c>
      <c r="L26" s="495">
        <v>22</v>
      </c>
      <c r="M26" s="497" t="str">
        <f>VLOOKUP(L26,'пр.взв.'!B$7:H$134,2,FALSE)</f>
        <v>ГЛАДКОВ Алексей Иванович</v>
      </c>
      <c r="N26" s="424" t="str">
        <f>VLOOKUP(L26,'пр.взв.'!B2:H154,3,FALSE)</f>
        <v>24.11.85, МС</v>
      </c>
      <c r="O26" s="424" t="str">
        <f>VLOOKUP(M26,'пр.взв.'!C2:I154,3,FALSE)</f>
        <v>СПБ</v>
      </c>
      <c r="P26" s="429" t="str">
        <f>VLOOKUP(L26,'пр.взв.'!B27:H154,5,FALSE)</f>
        <v>С-Петербург, Д</v>
      </c>
      <c r="Q26" s="440"/>
      <c r="R26" s="428"/>
      <c r="S26" s="441"/>
      <c r="T26" s="424"/>
    </row>
    <row r="27" spans="1:20" ht="12.75" customHeight="1" hidden="1">
      <c r="A27" s="486"/>
      <c r="B27" s="496"/>
      <c r="C27" s="498"/>
      <c r="D27" s="425"/>
      <c r="E27" s="425"/>
      <c r="F27" s="425"/>
      <c r="G27" s="425"/>
      <c r="H27" s="425"/>
      <c r="I27" s="300"/>
      <c r="J27" s="282"/>
      <c r="K27" s="445"/>
      <c r="L27" s="496"/>
      <c r="M27" s="498"/>
      <c r="N27" s="425"/>
      <c r="O27" s="425"/>
      <c r="P27" s="425"/>
      <c r="Q27" s="425"/>
      <c r="R27" s="425"/>
      <c r="S27" s="300"/>
      <c r="T27" s="282"/>
    </row>
    <row r="28" spans="1:20" ht="12.75" customHeight="1" hidden="1">
      <c r="A28" s="486"/>
      <c r="B28" s="491">
        <v>53</v>
      </c>
      <c r="C28" s="493" t="e">
        <f>VLOOKUP(B28,'пр.взв.'!B$7:H$134,2,FALSE)</f>
        <v>#N/A</v>
      </c>
      <c r="D28" s="422" t="e">
        <f>VLOOKUP(B28,'пр.взв.'!B2:H156,3,FALSE)</f>
        <v>#N/A</v>
      </c>
      <c r="E28" s="422" t="e">
        <f>VLOOKUP(C28,'пр.взв.'!C2:I156,3,FALSE)</f>
        <v>#N/A</v>
      </c>
      <c r="F28" s="422" t="e">
        <f>VLOOKUP(B28,'пр.взв.'!B24:H156,5,FALSE)</f>
        <v>#N/A</v>
      </c>
      <c r="G28" s="426"/>
      <c r="H28" s="426"/>
      <c r="I28" s="273"/>
      <c r="J28" s="273"/>
      <c r="K28" s="445"/>
      <c r="L28" s="491">
        <v>54</v>
      </c>
      <c r="M28" s="493" t="e">
        <f>VLOOKUP(L28,'пр.взв.'!B$2:H$136,2,FALSE)</f>
        <v>#N/A</v>
      </c>
      <c r="N28" s="422" t="e">
        <f>VLOOKUP(L28,'пр.взв.'!B2:H156,3,FALSE)</f>
        <v>#N/A</v>
      </c>
      <c r="O28" s="422" t="e">
        <f>VLOOKUP(M28,'пр.взв.'!C2:I156,3,FALSE)</f>
        <v>#N/A</v>
      </c>
      <c r="P28" s="422" t="e">
        <f>VLOOKUP(L28,'пр.взв.'!B29:H156,5,FALSE)</f>
        <v>#N/A</v>
      </c>
      <c r="Q28" s="426"/>
      <c r="R28" s="426"/>
      <c r="S28" s="273"/>
      <c r="T28" s="273"/>
    </row>
    <row r="29" spans="1:20" ht="13.5" customHeight="1" hidden="1" thickBot="1">
      <c r="A29" s="500"/>
      <c r="B29" s="492"/>
      <c r="C29" s="494"/>
      <c r="D29" s="423"/>
      <c r="E29" s="423"/>
      <c r="F29" s="423"/>
      <c r="G29" s="427"/>
      <c r="H29" s="427"/>
      <c r="I29" s="437"/>
      <c r="J29" s="437"/>
      <c r="K29" s="446"/>
      <c r="L29" s="492"/>
      <c r="M29" s="494"/>
      <c r="N29" s="423"/>
      <c r="O29" s="423"/>
      <c r="P29" s="423"/>
      <c r="Q29" s="427"/>
      <c r="R29" s="427"/>
      <c r="S29" s="437"/>
      <c r="T29" s="437"/>
    </row>
    <row r="30" spans="1:20" ht="12.75" customHeight="1" hidden="1">
      <c r="A30" s="485">
        <v>7</v>
      </c>
      <c r="B30" s="495">
        <v>13</v>
      </c>
      <c r="C30" s="497" t="str">
        <f>VLOOKUP(B30,'пр.взв.'!B$7:H$134,2,FALSE)</f>
        <v>КОМЛЕВ Роман Олегович</v>
      </c>
      <c r="D30" s="429" t="str">
        <f>VLOOKUP(B30,'пр.взв.'!B4:H158,3,FALSE)</f>
        <v>15.09.89, МС</v>
      </c>
      <c r="E30" s="429" t="str">
        <f>VLOOKUP(C30,'пр.взв.'!C4:I158,3,FALSE)</f>
        <v>СФО</v>
      </c>
      <c r="F30" s="429" t="str">
        <f>VLOOKUP(B30,'пр.взв.'!B26:H158,5,FALSE)</f>
        <v>Кемеровская, Новокузнецк, МО</v>
      </c>
      <c r="G30" s="459"/>
      <c r="H30" s="460"/>
      <c r="I30" s="322"/>
      <c r="J30" s="274"/>
      <c r="K30" s="444">
        <v>23</v>
      </c>
      <c r="L30" s="495">
        <v>14</v>
      </c>
      <c r="M30" s="497" t="str">
        <f>VLOOKUP(L30,'пр.взв.'!B$7:H$134,2,FALSE)</f>
        <v>КУНДУКОВ Роман Николаевич</v>
      </c>
      <c r="N30" s="429" t="str">
        <f>VLOOKUP(L30,'пр.взв.'!B4:H158,3,FALSE)</f>
        <v>11.11.93, кмс</v>
      </c>
      <c r="O30" s="429" t="str">
        <f>VLOOKUP(M30,'пр.взв.'!C4:I158,3,FALSE)</f>
        <v>СЗФО</v>
      </c>
      <c r="P30" s="429" t="str">
        <f>VLOOKUP(L30,'пр.взв.'!B31:H158,5,FALSE)</f>
        <v>Ленинградская об., Выборг МО</v>
      </c>
      <c r="Q30" s="459"/>
      <c r="R30" s="460"/>
      <c r="S30" s="322"/>
      <c r="T30" s="274"/>
    </row>
    <row r="31" spans="1:20" ht="12.75" customHeight="1" hidden="1">
      <c r="A31" s="486"/>
      <c r="B31" s="496"/>
      <c r="C31" s="498"/>
      <c r="D31" s="425"/>
      <c r="E31" s="425"/>
      <c r="F31" s="425"/>
      <c r="G31" s="425"/>
      <c r="H31" s="425"/>
      <c r="I31" s="300"/>
      <c r="J31" s="282"/>
      <c r="K31" s="445"/>
      <c r="L31" s="496"/>
      <c r="M31" s="498"/>
      <c r="N31" s="425"/>
      <c r="O31" s="425"/>
      <c r="P31" s="425"/>
      <c r="Q31" s="425"/>
      <c r="R31" s="425"/>
      <c r="S31" s="300"/>
      <c r="T31" s="282"/>
    </row>
    <row r="32" spans="1:20" ht="12.75" customHeight="1" hidden="1">
      <c r="A32" s="486"/>
      <c r="B32" s="491">
        <v>45</v>
      </c>
      <c r="C32" s="493" t="e">
        <f>VLOOKUP(B32,'пр.взв.'!B$7:H$134,2,FALSE)</f>
        <v>#N/A</v>
      </c>
      <c r="D32" s="422" t="e">
        <f>VLOOKUP(B32,'пр.взв.'!B4:H160,3,FALSE)</f>
        <v>#N/A</v>
      </c>
      <c r="E32" s="422" t="e">
        <f>VLOOKUP(C32,'пр.взв.'!C4:I160,3,FALSE)</f>
        <v>#N/A</v>
      </c>
      <c r="F32" s="422" t="e">
        <f>VLOOKUP(B32,'пр.взв.'!B28:H160,5,FALSE)</f>
        <v>#N/A</v>
      </c>
      <c r="G32" s="426"/>
      <c r="H32" s="426"/>
      <c r="I32" s="273"/>
      <c r="J32" s="273"/>
      <c r="K32" s="445"/>
      <c r="L32" s="491">
        <v>46</v>
      </c>
      <c r="M32" s="493" t="e">
        <f>VLOOKUP(L32,'пр.взв.'!B$2:H$136,2,FALSE)</f>
        <v>#N/A</v>
      </c>
      <c r="N32" s="422" t="e">
        <f>VLOOKUP(L32,'пр.взв.'!B4:H160,3,FALSE)</f>
        <v>#N/A</v>
      </c>
      <c r="O32" s="422" t="e">
        <f>VLOOKUP(M32,'пр.взв.'!C4:I160,3,FALSE)</f>
        <v>#N/A</v>
      </c>
      <c r="P32" s="422" t="e">
        <f>VLOOKUP(L32,'пр.взв.'!B33:H160,5,FALSE)</f>
        <v>#N/A</v>
      </c>
      <c r="Q32" s="426"/>
      <c r="R32" s="426"/>
      <c r="S32" s="273"/>
      <c r="T32" s="273"/>
    </row>
    <row r="33" spans="1:20" ht="13.5" customHeight="1" hidden="1" thickBot="1">
      <c r="A33" s="487"/>
      <c r="B33" s="492"/>
      <c r="C33" s="494"/>
      <c r="D33" s="423"/>
      <c r="E33" s="423"/>
      <c r="F33" s="423"/>
      <c r="G33" s="427"/>
      <c r="H33" s="427"/>
      <c r="I33" s="437"/>
      <c r="J33" s="437"/>
      <c r="K33" s="446"/>
      <c r="L33" s="492"/>
      <c r="M33" s="494"/>
      <c r="N33" s="423"/>
      <c r="O33" s="423"/>
      <c r="P33" s="423"/>
      <c r="Q33" s="427"/>
      <c r="R33" s="427"/>
      <c r="S33" s="437"/>
      <c r="T33" s="437"/>
    </row>
    <row r="34" spans="1:20" ht="12.75" customHeight="1" hidden="1">
      <c r="A34" s="485">
        <v>8</v>
      </c>
      <c r="B34" s="495">
        <v>29</v>
      </c>
      <c r="C34" s="497" t="str">
        <f>VLOOKUP(B34,'пр.взв.'!B$7:H$134,2,FALSE)</f>
        <v>ОСИПЕНКО Артем Иванович</v>
      </c>
      <c r="D34" s="424" t="str">
        <f>VLOOKUP(B34,'пр.взв.'!B4:H162,3,FALSE)</f>
        <v>27.05.88 змс</v>
      </c>
      <c r="E34" s="424" t="str">
        <f>VLOOKUP(C34,'пр.взв.'!C4:I162,3,FALSE)</f>
        <v>ЦФО</v>
      </c>
      <c r="F34" s="424" t="str">
        <f>VLOOKUP(B34,'пр.взв.'!B30:H162,5,FALSE)</f>
        <v>Брянская Брянск ВС</v>
      </c>
      <c r="G34" s="440"/>
      <c r="H34" s="428"/>
      <c r="I34" s="441"/>
      <c r="J34" s="424"/>
      <c r="K34" s="501">
        <v>24</v>
      </c>
      <c r="L34" s="495">
        <v>30</v>
      </c>
      <c r="M34" s="497" t="str">
        <f>VLOOKUP(L34,'пр.взв.'!B$7:H$134,2,FALSE)</f>
        <v>ТАЧКОВ Иван Дмитриевич</v>
      </c>
      <c r="N34" s="429" t="str">
        <f>VLOOKUP(L34,'пр.взв.'!B4:H162,3,FALSE)</f>
        <v>25.03.97 мс</v>
      </c>
      <c r="O34" s="429" t="str">
        <f>VLOOKUP(M34,'пр.взв.'!C4:I162,3,FALSE)</f>
        <v>УФО</v>
      </c>
      <c r="P34" s="429" t="str">
        <f>VLOOKUP(L34,'пр.взв.'!B35:H162,5,FALSE)</f>
        <v>Курганская, Курган</v>
      </c>
      <c r="Q34" s="425"/>
      <c r="R34" s="499"/>
      <c r="S34" s="300"/>
      <c r="T34" s="422"/>
    </row>
    <row r="35" spans="1:20" ht="12.75" customHeight="1" hidden="1">
      <c r="A35" s="486"/>
      <c r="B35" s="496"/>
      <c r="C35" s="498"/>
      <c r="D35" s="425"/>
      <c r="E35" s="425"/>
      <c r="F35" s="425"/>
      <c r="G35" s="425"/>
      <c r="H35" s="425"/>
      <c r="I35" s="300"/>
      <c r="J35" s="282"/>
      <c r="K35" s="502"/>
      <c r="L35" s="496"/>
      <c r="M35" s="498"/>
      <c r="N35" s="425"/>
      <c r="O35" s="425"/>
      <c r="P35" s="425"/>
      <c r="Q35" s="425"/>
      <c r="R35" s="425"/>
      <c r="S35" s="300"/>
      <c r="T35" s="282"/>
    </row>
    <row r="36" spans="1:20" ht="12.75" customHeight="1" hidden="1">
      <c r="A36" s="486"/>
      <c r="B36" s="491">
        <v>61</v>
      </c>
      <c r="C36" s="493" t="e">
        <f>VLOOKUP(B36,'пр.взв.'!B$7:H$134,2,FALSE)</f>
        <v>#N/A</v>
      </c>
      <c r="D36" s="422" t="e">
        <f>VLOOKUP(B36,'пр.взв.'!B4:H164,3,FALSE)</f>
        <v>#N/A</v>
      </c>
      <c r="E36" s="422" t="e">
        <f>VLOOKUP(C36,'пр.взв.'!C4:I164,3,FALSE)</f>
        <v>#N/A</v>
      </c>
      <c r="F36" s="422" t="e">
        <f>VLOOKUP(B36,'пр.взв.'!B32:H164,5,FALSE)</f>
        <v>#N/A</v>
      </c>
      <c r="G36" s="426"/>
      <c r="H36" s="426"/>
      <c r="I36" s="273"/>
      <c r="J36" s="273"/>
      <c r="K36" s="502"/>
      <c r="L36" s="491">
        <v>62</v>
      </c>
      <c r="M36" s="493" t="e">
        <f>VLOOKUP(L36,'пр.взв.'!B$2:H$136,2,FALSE)</f>
        <v>#N/A</v>
      </c>
      <c r="N36" s="422" t="e">
        <f>VLOOKUP(L36,'пр.взв.'!B4:H164,3,FALSE)</f>
        <v>#N/A</v>
      </c>
      <c r="O36" s="422" t="e">
        <f>VLOOKUP(M36,'пр.взв.'!C4:I164,3,FALSE)</f>
        <v>#N/A</v>
      </c>
      <c r="P36" s="422" t="e">
        <f>VLOOKUP(L36,'пр.взв.'!B37:H164,5,FALSE)</f>
        <v>#N/A</v>
      </c>
      <c r="Q36" s="426"/>
      <c r="R36" s="426"/>
      <c r="S36" s="273"/>
      <c r="T36" s="273"/>
    </row>
    <row r="37" spans="1:20" ht="13.5" customHeight="1" hidden="1" thickBot="1">
      <c r="A37" s="500"/>
      <c r="B37" s="492"/>
      <c r="C37" s="494"/>
      <c r="D37" s="423"/>
      <c r="E37" s="423"/>
      <c r="F37" s="423"/>
      <c r="G37" s="427"/>
      <c r="H37" s="427"/>
      <c r="I37" s="437"/>
      <c r="J37" s="437"/>
      <c r="K37" s="503"/>
      <c r="L37" s="492"/>
      <c r="M37" s="494"/>
      <c r="N37" s="423"/>
      <c r="O37" s="423"/>
      <c r="P37" s="423"/>
      <c r="Q37" s="427"/>
      <c r="R37" s="427"/>
      <c r="S37" s="437"/>
      <c r="T37" s="437"/>
    </row>
    <row r="38" spans="1:21" ht="13.5" customHeight="1" hidden="1">
      <c r="A38" s="485">
        <v>9</v>
      </c>
      <c r="B38" s="505">
        <v>3</v>
      </c>
      <c r="C38" s="497" t="str">
        <f>VLOOKUP(B38,'пр.взв.'!B$7:H$134,2,FALSE)</f>
        <v>МГОЕВ Джамал Алиевич</v>
      </c>
      <c r="D38" s="429" t="str">
        <f>VLOOKUP(B38,'пр.взв.'!B4:H166,3,FALSE)</f>
        <v>23.07.95, КМС</v>
      </c>
      <c r="E38" s="429" t="str">
        <f>VLOOKUP(C38,'пр.взв.'!C4:I166,3,FALSE)</f>
        <v>ЮФО</v>
      </c>
      <c r="F38" s="429" t="str">
        <f>VLOOKUP(B38,'пр.взв.'!B4:H166,5,FALSE)</f>
        <v>Краснодарский, Краснодар Д</v>
      </c>
      <c r="G38" s="459"/>
      <c r="H38" s="460"/>
      <c r="I38" s="322"/>
      <c r="J38" s="274"/>
      <c r="K38" s="502">
        <v>25</v>
      </c>
      <c r="L38" s="505">
        <v>4</v>
      </c>
      <c r="M38" s="497" t="str">
        <f>VLOOKUP(L38,'пр.взв.'!B$7:H$134,2,FALSE)</f>
        <v>ШИРЯЕВ Максим Сергеевич</v>
      </c>
      <c r="N38" s="429" t="str">
        <f>VLOOKUP(L38,'пр.взв.'!B4:H166,3,FALSE)</f>
        <v>18.03.88, МСМК</v>
      </c>
      <c r="O38" s="429" t="str">
        <f>VLOOKUP(M38,'пр.взв.'!C4:I166,3,FALSE)</f>
        <v>МОС</v>
      </c>
      <c r="P38" s="429" t="str">
        <f>VLOOKUP(L38,'пр.взв.'!B4:H166,5,FALSE)</f>
        <v>Москва, ВС</v>
      </c>
      <c r="Q38" s="459"/>
      <c r="R38" s="460"/>
      <c r="S38" s="322"/>
      <c r="T38" s="434"/>
      <c r="U38" s="12"/>
    </row>
    <row r="39" spans="1:21" ht="12.75" customHeight="1" hidden="1">
      <c r="A39" s="486"/>
      <c r="B39" s="496"/>
      <c r="C39" s="498"/>
      <c r="D39" s="425"/>
      <c r="E39" s="425"/>
      <c r="F39" s="425"/>
      <c r="G39" s="425"/>
      <c r="H39" s="425"/>
      <c r="I39" s="300"/>
      <c r="J39" s="282"/>
      <c r="K39" s="502"/>
      <c r="L39" s="496"/>
      <c r="M39" s="498"/>
      <c r="N39" s="425"/>
      <c r="O39" s="425"/>
      <c r="P39" s="425"/>
      <c r="Q39" s="425"/>
      <c r="R39" s="425"/>
      <c r="S39" s="300"/>
      <c r="T39" s="282"/>
      <c r="U39" s="12"/>
    </row>
    <row r="40" spans="1:21" ht="12.75" customHeight="1" hidden="1">
      <c r="A40" s="486"/>
      <c r="B40" s="491">
        <v>35</v>
      </c>
      <c r="C40" s="493" t="e">
        <f>VLOOKUP(B40,'пр.взв.'!B$7:H$134,2,FALSE)</f>
        <v>#N/A</v>
      </c>
      <c r="D40" s="422" t="e">
        <f>VLOOKUP(B40,'пр.взв.'!B5:H168,3,FALSE)</f>
        <v>#N/A</v>
      </c>
      <c r="E40" s="422" t="e">
        <f>VLOOKUP(C40,'пр.взв.'!C5:I168,3,FALSE)</f>
        <v>#N/A</v>
      </c>
      <c r="F40" s="422" t="e">
        <f>VLOOKUP(B40,'пр.взв.'!B36:H168,5,FALSE)</f>
        <v>#N/A</v>
      </c>
      <c r="G40" s="426"/>
      <c r="H40" s="426"/>
      <c r="I40" s="273"/>
      <c r="J40" s="273"/>
      <c r="K40" s="502"/>
      <c r="L40" s="491">
        <v>36</v>
      </c>
      <c r="M40" s="493" t="e">
        <f>VLOOKUP(L40,'пр.взв.'!B$2:H$136,2,FALSE)</f>
        <v>#N/A</v>
      </c>
      <c r="N40" s="422" t="e">
        <f>VLOOKUP(L40,'пр.взв.'!B5:H168,3,FALSE)</f>
        <v>#N/A</v>
      </c>
      <c r="O40" s="422" t="e">
        <f>VLOOKUP(M40,'пр.взв.'!C5:I168,3,FALSE)</f>
        <v>#N/A</v>
      </c>
      <c r="P40" s="422" t="e">
        <f>VLOOKUP(L40,'пр.взв.'!B41:H168,5,FALSE)</f>
        <v>#N/A</v>
      </c>
      <c r="Q40" s="426"/>
      <c r="R40" s="426"/>
      <c r="S40" s="273"/>
      <c r="T40" s="273"/>
      <c r="U40" s="12"/>
    </row>
    <row r="41" spans="1:21" ht="13.5" customHeight="1" hidden="1" thickBot="1">
      <c r="A41" s="487"/>
      <c r="B41" s="492"/>
      <c r="C41" s="494"/>
      <c r="D41" s="423"/>
      <c r="E41" s="423"/>
      <c r="F41" s="423"/>
      <c r="G41" s="427"/>
      <c r="H41" s="427"/>
      <c r="I41" s="437"/>
      <c r="J41" s="437"/>
      <c r="K41" s="503"/>
      <c r="L41" s="492"/>
      <c r="M41" s="494"/>
      <c r="N41" s="423"/>
      <c r="O41" s="423"/>
      <c r="P41" s="423"/>
      <c r="Q41" s="427"/>
      <c r="R41" s="427"/>
      <c r="S41" s="437"/>
      <c r="T41" s="437"/>
      <c r="U41" s="12"/>
    </row>
    <row r="42" spans="1:20" ht="12.75" customHeight="1" hidden="1">
      <c r="A42" s="485">
        <v>10</v>
      </c>
      <c r="B42" s="495">
        <v>19</v>
      </c>
      <c r="C42" s="497" t="str">
        <f>VLOOKUP(B42,'пр.взв.'!B$7:H$134,2,FALSE)</f>
        <v>КУЛИКОВ Александр Сергеевич</v>
      </c>
      <c r="D42" s="424" t="str">
        <f>VLOOKUP(B42,'пр.взв.'!B5:H170,3,FALSE)</f>
        <v>11.11.790, МС</v>
      </c>
      <c r="E42" s="424" t="str">
        <f>VLOOKUP(C42,'пр.взв.'!C5:I170,3,FALSE)</f>
        <v>УФО</v>
      </c>
      <c r="F42" s="429" t="str">
        <f>VLOOKUP(B42,'пр.взв.'!B38:H170,5,FALSE)</f>
        <v>Свердловская, Екатеринбург, ПР</v>
      </c>
      <c r="G42" s="440"/>
      <c r="H42" s="428"/>
      <c r="I42" s="441"/>
      <c r="J42" s="424"/>
      <c r="K42" s="444">
        <v>26</v>
      </c>
      <c r="L42" s="495">
        <v>20</v>
      </c>
      <c r="M42" s="497" t="str">
        <f>VLOOKUP(L42,'пр.взв.'!B$7:H$134,2,FALSE)</f>
        <v>АЛДУШИН Александр Игоревич</v>
      </c>
      <c r="N42" s="424" t="str">
        <f>VLOOKUP(L42,'пр.взв.'!B5:H170,3,FALSE)</f>
        <v>04.10.93, МС</v>
      </c>
      <c r="O42" s="424" t="str">
        <f>VLOOKUP(M42,'пр.взв.'!C5:I170,3,FALSE)</f>
        <v>УФО</v>
      </c>
      <c r="P42" s="429" t="str">
        <f>VLOOKUP(L42,'пр.взв.'!B43:H170,5,FALSE)</f>
        <v>Свердловская, Н.Тагил</v>
      </c>
      <c r="Q42" s="440"/>
      <c r="R42" s="428"/>
      <c r="S42" s="441"/>
      <c r="T42" s="424"/>
    </row>
    <row r="43" spans="1:20" ht="12.75" customHeight="1" hidden="1">
      <c r="A43" s="486"/>
      <c r="B43" s="496"/>
      <c r="C43" s="498"/>
      <c r="D43" s="425"/>
      <c r="E43" s="425"/>
      <c r="F43" s="425"/>
      <c r="G43" s="425"/>
      <c r="H43" s="425"/>
      <c r="I43" s="300"/>
      <c r="J43" s="282"/>
      <c r="K43" s="445"/>
      <c r="L43" s="496"/>
      <c r="M43" s="498"/>
      <c r="N43" s="425"/>
      <c r="O43" s="425"/>
      <c r="P43" s="425"/>
      <c r="Q43" s="425"/>
      <c r="R43" s="425"/>
      <c r="S43" s="300"/>
      <c r="T43" s="282"/>
    </row>
    <row r="44" spans="1:20" ht="12.75" customHeight="1" hidden="1">
      <c r="A44" s="486"/>
      <c r="B44" s="491">
        <v>51</v>
      </c>
      <c r="C44" s="493" t="e">
        <f>VLOOKUP(B44,'пр.взв.'!B$7:H$134,2,FALSE)</f>
        <v>#N/A</v>
      </c>
      <c r="D44" s="422" t="e">
        <f>VLOOKUP(B44,'пр.взв.'!B5:H172,3,FALSE)</f>
        <v>#N/A</v>
      </c>
      <c r="E44" s="422" t="e">
        <f>VLOOKUP(C44,'пр.взв.'!C5:I172,3,FALSE)</f>
        <v>#N/A</v>
      </c>
      <c r="F44" s="422" t="e">
        <f>VLOOKUP(B44,'пр.взв.'!B40:H172,5,FALSE)</f>
        <v>#N/A</v>
      </c>
      <c r="G44" s="426"/>
      <c r="H44" s="426"/>
      <c r="I44" s="273"/>
      <c r="J44" s="273"/>
      <c r="K44" s="445"/>
      <c r="L44" s="491">
        <v>52</v>
      </c>
      <c r="M44" s="493" t="e">
        <f>VLOOKUP(L44,'пр.взв.'!B$2:H$136,2,FALSE)</f>
        <v>#N/A</v>
      </c>
      <c r="N44" s="422" t="e">
        <f>VLOOKUP(L44,'пр.взв.'!B5:H172,3,FALSE)</f>
        <v>#N/A</v>
      </c>
      <c r="O44" s="422" t="e">
        <f>VLOOKUP(M44,'пр.взв.'!C5:I172,3,FALSE)</f>
        <v>#N/A</v>
      </c>
      <c r="P44" s="422" t="e">
        <f>VLOOKUP(L44,'пр.взв.'!B45:H172,5,FALSE)</f>
        <v>#N/A</v>
      </c>
      <c r="Q44" s="426"/>
      <c r="R44" s="426"/>
      <c r="S44" s="273"/>
      <c r="T44" s="273"/>
    </row>
    <row r="45" spans="1:20" ht="13.5" customHeight="1" hidden="1" thickBot="1">
      <c r="A45" s="500"/>
      <c r="B45" s="492"/>
      <c r="C45" s="494"/>
      <c r="D45" s="423"/>
      <c r="E45" s="423"/>
      <c r="F45" s="423"/>
      <c r="G45" s="427"/>
      <c r="H45" s="427"/>
      <c r="I45" s="437"/>
      <c r="J45" s="437"/>
      <c r="K45" s="446"/>
      <c r="L45" s="492"/>
      <c r="M45" s="494"/>
      <c r="N45" s="423"/>
      <c r="O45" s="423"/>
      <c r="P45" s="423"/>
      <c r="Q45" s="427"/>
      <c r="R45" s="427"/>
      <c r="S45" s="437"/>
      <c r="T45" s="437"/>
    </row>
    <row r="46" spans="1:20" ht="12.75" customHeight="1" hidden="1">
      <c r="A46" s="485">
        <v>11</v>
      </c>
      <c r="B46" s="495">
        <v>11</v>
      </c>
      <c r="C46" s="497" t="str">
        <f>VLOOKUP(B46,'пр.взв.'!B$7:H$134,2,FALSE)</f>
        <v>ЮСУФОВ Гаджи Чингизович</v>
      </c>
      <c r="D46" s="429" t="str">
        <f>VLOOKUP(B46,'пр.взв.'!B5:H174,3,FALSE)</f>
        <v>08.05.90, МС</v>
      </c>
      <c r="E46" s="429" t="str">
        <f>VLOOKUP(C46,'пр.взв.'!C5:I174,3,FALSE)</f>
        <v>ПФО</v>
      </c>
      <c r="F46" s="429" t="str">
        <f>VLOOKUP(B46,'пр.взв.'!B5:H174,5,FALSE)</f>
        <v>Пермский, Пермь, Д</v>
      </c>
      <c r="G46" s="459"/>
      <c r="H46" s="460"/>
      <c r="I46" s="322"/>
      <c r="J46" s="274"/>
      <c r="K46" s="444">
        <v>27</v>
      </c>
      <c r="L46" s="495">
        <v>12</v>
      </c>
      <c r="M46" s="497" t="str">
        <f>VLOOKUP(L46,'пр.взв.'!B$7:H$134,2,FALSE)</f>
        <v>АБУЛАДЗЕ Паата Венорович</v>
      </c>
      <c r="N46" s="429" t="str">
        <f>VLOOKUP(L46,'пр.взв.'!B5:H174,3,FALSE)</f>
        <v>15.06.91, КМС</v>
      </c>
      <c r="O46" s="429" t="str">
        <f>VLOOKUP(M46,'пр.взв.'!C5:I174,3,FALSE)</f>
        <v>ЮФО</v>
      </c>
      <c r="P46" s="429" t="str">
        <f>VLOOKUP(L46,'пр.взв.'!B5:H174,5,FALSE)</f>
        <v>Краснодарский, Краснодар Д</v>
      </c>
      <c r="Q46" s="459"/>
      <c r="R46" s="460"/>
      <c r="S46" s="322"/>
      <c r="T46" s="274"/>
    </row>
    <row r="47" spans="1:20" ht="12.75" customHeight="1" hidden="1">
      <c r="A47" s="486"/>
      <c r="B47" s="496"/>
      <c r="C47" s="498"/>
      <c r="D47" s="425"/>
      <c r="E47" s="425"/>
      <c r="F47" s="425"/>
      <c r="G47" s="425"/>
      <c r="H47" s="425"/>
      <c r="I47" s="300"/>
      <c r="J47" s="282"/>
      <c r="K47" s="445"/>
      <c r="L47" s="496"/>
      <c r="M47" s="498"/>
      <c r="N47" s="425"/>
      <c r="O47" s="425"/>
      <c r="P47" s="425"/>
      <c r="Q47" s="425"/>
      <c r="R47" s="425"/>
      <c r="S47" s="300"/>
      <c r="T47" s="282"/>
    </row>
    <row r="48" spans="1:20" ht="12.75" customHeight="1" hidden="1">
      <c r="A48" s="486"/>
      <c r="B48" s="491">
        <v>43</v>
      </c>
      <c r="C48" s="493" t="e">
        <f>VLOOKUP(B48,'пр.взв.'!B$7:H$134,2,FALSE)</f>
        <v>#N/A</v>
      </c>
      <c r="D48" s="422" t="e">
        <f>VLOOKUP(B48,'пр.взв.'!B5:H176,3,FALSE)</f>
        <v>#N/A</v>
      </c>
      <c r="E48" s="422" t="e">
        <f>VLOOKUP(C48,'пр.взв.'!C5:I176,3,FALSE)</f>
        <v>#N/A</v>
      </c>
      <c r="F48" s="422" t="e">
        <f>VLOOKUP(B48,'пр.взв.'!B44:H176,5,FALSE)</f>
        <v>#N/A</v>
      </c>
      <c r="G48" s="426"/>
      <c r="H48" s="426"/>
      <c r="I48" s="273"/>
      <c r="J48" s="273"/>
      <c r="K48" s="445"/>
      <c r="L48" s="491">
        <v>44</v>
      </c>
      <c r="M48" s="493" t="e">
        <f>VLOOKUP(L48,'пр.взв.'!B$2:H$136,2,FALSE)</f>
        <v>#N/A</v>
      </c>
      <c r="N48" s="422" t="e">
        <f>VLOOKUP(L48,'пр.взв.'!B5:H176,3,FALSE)</f>
        <v>#N/A</v>
      </c>
      <c r="O48" s="422" t="e">
        <f>VLOOKUP(M48,'пр.взв.'!C5:I176,3,FALSE)</f>
        <v>#N/A</v>
      </c>
      <c r="P48" s="422" t="e">
        <f>VLOOKUP(L48,'пр.взв.'!B49:H176,5,FALSE)</f>
        <v>#N/A</v>
      </c>
      <c r="Q48" s="426"/>
      <c r="R48" s="426"/>
      <c r="S48" s="273"/>
      <c r="T48" s="273"/>
    </row>
    <row r="49" spans="1:20" ht="13.5" customHeight="1" hidden="1" thickBot="1">
      <c r="A49" s="487"/>
      <c r="B49" s="492"/>
      <c r="C49" s="494"/>
      <c r="D49" s="423"/>
      <c r="E49" s="423"/>
      <c r="F49" s="423"/>
      <c r="G49" s="427"/>
      <c r="H49" s="427"/>
      <c r="I49" s="437"/>
      <c r="J49" s="437"/>
      <c r="K49" s="446"/>
      <c r="L49" s="492"/>
      <c r="M49" s="494"/>
      <c r="N49" s="423"/>
      <c r="O49" s="423"/>
      <c r="P49" s="423"/>
      <c r="Q49" s="427"/>
      <c r="R49" s="427"/>
      <c r="S49" s="437"/>
      <c r="T49" s="437"/>
    </row>
    <row r="50" spans="1:20" ht="12.75" customHeight="1" hidden="1">
      <c r="A50" s="485">
        <v>12</v>
      </c>
      <c r="B50" s="495">
        <v>27</v>
      </c>
      <c r="C50" s="497" t="str">
        <f>VLOOKUP(B50,'пр.взв.'!B$7:H$134,2,FALSE)</f>
        <v>ГИБАДУЛЛИН Игорь Витальевич</v>
      </c>
      <c r="D50" s="424" t="str">
        <f>VLOOKUP(B50,'пр.взв.'!B6:H178,3,FALSE)</f>
        <v>27.03.84, МСМК</v>
      </c>
      <c r="E50" s="424" t="str">
        <f>VLOOKUP(C50,'пр.взв.'!C6:I178,3,FALSE)</f>
        <v>УФО</v>
      </c>
      <c r="F50" s="429" t="str">
        <f>VLOOKUP(B50,'пр.взв.'!B46:H178,5,FALSE)</f>
        <v>Свердловская, Екатеринбург, ПР</v>
      </c>
      <c r="G50" s="440"/>
      <c r="H50" s="428"/>
      <c r="I50" s="441"/>
      <c r="J50" s="424"/>
      <c r="K50" s="444">
        <v>28</v>
      </c>
      <c r="L50" s="495">
        <v>28</v>
      </c>
      <c r="M50" s="497" t="str">
        <f>VLOOKUP(L50,'пр.взв.'!B$7:H$134,2,FALSE)</f>
        <v>БОБИКОВ Роман Николаевич</v>
      </c>
      <c r="N50" s="424" t="str">
        <f>VLOOKUP(L50,'пр.взв.'!B6:H178,3,FALSE)</f>
        <v>08.12.89, МС</v>
      </c>
      <c r="O50" s="424" t="str">
        <f>VLOOKUP(M50,'пр.взв.'!C6:I178,3,FALSE)</f>
        <v>ЦФО</v>
      </c>
      <c r="P50" s="429" t="str">
        <f>VLOOKUP(L50,'пр.взв.'!B51:H178,5,FALSE)</f>
        <v>Тверская, Тверь, Д</v>
      </c>
      <c r="Q50" s="425"/>
      <c r="R50" s="499"/>
      <c r="S50" s="300"/>
      <c r="T50" s="422"/>
    </row>
    <row r="51" spans="1:20" ht="12.75" customHeight="1" hidden="1">
      <c r="A51" s="486"/>
      <c r="B51" s="496"/>
      <c r="C51" s="498"/>
      <c r="D51" s="425"/>
      <c r="E51" s="425"/>
      <c r="F51" s="425"/>
      <c r="G51" s="425"/>
      <c r="H51" s="425"/>
      <c r="I51" s="300"/>
      <c r="J51" s="282"/>
      <c r="K51" s="445"/>
      <c r="L51" s="496"/>
      <c r="M51" s="498"/>
      <c r="N51" s="425"/>
      <c r="O51" s="425"/>
      <c r="P51" s="425"/>
      <c r="Q51" s="425"/>
      <c r="R51" s="425"/>
      <c r="S51" s="300"/>
      <c r="T51" s="282"/>
    </row>
    <row r="52" spans="1:20" ht="12.75" customHeight="1" hidden="1">
      <c r="A52" s="486"/>
      <c r="B52" s="491">
        <v>59</v>
      </c>
      <c r="C52" s="493" t="e">
        <f>VLOOKUP(B52,'пр.взв.'!B$7:H$134,2,FALSE)</f>
        <v>#N/A</v>
      </c>
      <c r="D52" s="422" t="e">
        <f>VLOOKUP(B52,'пр.взв.'!B6:H180,3,FALSE)</f>
        <v>#N/A</v>
      </c>
      <c r="E52" s="422" t="e">
        <f>VLOOKUP(C52,'пр.взв.'!C6:I180,3,FALSE)</f>
        <v>#N/A</v>
      </c>
      <c r="F52" s="422" t="e">
        <f>VLOOKUP(B52,'пр.взв.'!B48:H180,5,FALSE)</f>
        <v>#N/A</v>
      </c>
      <c r="G52" s="426"/>
      <c r="H52" s="426"/>
      <c r="I52" s="273"/>
      <c r="J52" s="273"/>
      <c r="K52" s="445"/>
      <c r="L52" s="491">
        <v>60</v>
      </c>
      <c r="M52" s="493" t="e">
        <f>VLOOKUP(L52,'пр.взв.'!B$2:H$136,2,FALSE)</f>
        <v>#N/A</v>
      </c>
      <c r="N52" s="422" t="e">
        <f>VLOOKUP(L52,'пр.взв.'!B6:H180,3,FALSE)</f>
        <v>#N/A</v>
      </c>
      <c r="O52" s="422" t="e">
        <f>VLOOKUP(M52,'пр.взв.'!C6:I180,3,FALSE)</f>
        <v>#N/A</v>
      </c>
      <c r="P52" s="422" t="e">
        <f>VLOOKUP(L52,'пр.взв.'!B53:H180,5,FALSE)</f>
        <v>#N/A</v>
      </c>
      <c r="Q52" s="426"/>
      <c r="R52" s="426"/>
      <c r="S52" s="273"/>
      <c r="T52" s="273"/>
    </row>
    <row r="53" spans="1:20" ht="13.5" customHeight="1" hidden="1" thickBot="1">
      <c r="A53" s="500"/>
      <c r="B53" s="492"/>
      <c r="C53" s="494"/>
      <c r="D53" s="423"/>
      <c r="E53" s="423"/>
      <c r="F53" s="423"/>
      <c r="G53" s="427"/>
      <c r="H53" s="427"/>
      <c r="I53" s="437"/>
      <c r="J53" s="437"/>
      <c r="K53" s="446"/>
      <c r="L53" s="492"/>
      <c r="M53" s="494"/>
      <c r="N53" s="423"/>
      <c r="O53" s="423"/>
      <c r="P53" s="423"/>
      <c r="Q53" s="427"/>
      <c r="R53" s="427"/>
      <c r="S53" s="437"/>
      <c r="T53" s="437"/>
    </row>
    <row r="54" spans="1:20" ht="12.75" customHeight="1" hidden="1">
      <c r="A54" s="485">
        <v>13</v>
      </c>
      <c r="B54" s="495">
        <v>7</v>
      </c>
      <c r="C54" s="497" t="str">
        <f>VLOOKUP(B54,'пр.взв.'!B$7:H$134,2,FALSE)</f>
        <v>БАЙРАМУКОВ Таулан Хасанович</v>
      </c>
      <c r="D54" s="429" t="str">
        <f>VLOOKUP(B54,'пр.взв.'!B6:H182,3,FALSE)</f>
        <v>09.01.1991, МС</v>
      </c>
      <c r="E54" s="429" t="str">
        <f>VLOOKUP(C54,'пр.взв.'!C6:I182,3,FALSE)</f>
        <v>СКФО</v>
      </c>
      <c r="F54" s="429" t="str">
        <f>VLOOKUP(B54,'пр.взв.'!B5:H182,5,FALSE)</f>
        <v>КЧР, ВС</v>
      </c>
      <c r="G54" s="459"/>
      <c r="H54" s="460"/>
      <c r="I54" s="322"/>
      <c r="J54" s="274"/>
      <c r="K54" s="444">
        <v>29</v>
      </c>
      <c r="L54" s="495">
        <v>8</v>
      </c>
      <c r="M54" s="497" t="str">
        <f>VLOOKUP(L54,'пр.взв.'!B$7:H$134,2,FALSE)</f>
        <v>ТАРАСЕНКО Владимир Владимирович</v>
      </c>
      <c r="N54" s="429" t="str">
        <f>VLOOKUP(L54,'пр.взв.'!B6:H182,3,FALSE)</f>
        <v>25.01.91, МС</v>
      </c>
      <c r="O54" s="429" t="str">
        <f>VLOOKUP(M54,'пр.взв.'!C6:I182,3,FALSE)</f>
        <v>СКФО</v>
      </c>
      <c r="P54" s="429" t="str">
        <f>VLOOKUP(L54,'пр.взв.'!B5:H182,5,FALSE)</f>
        <v>Ставропольский, Михайловск, Д</v>
      </c>
      <c r="Q54" s="459"/>
      <c r="R54" s="460"/>
      <c r="S54" s="322"/>
      <c r="T54" s="274"/>
    </row>
    <row r="55" spans="1:20" ht="12.75" customHeight="1" hidden="1">
      <c r="A55" s="486"/>
      <c r="B55" s="496"/>
      <c r="C55" s="498"/>
      <c r="D55" s="425"/>
      <c r="E55" s="425"/>
      <c r="F55" s="425"/>
      <c r="G55" s="425"/>
      <c r="H55" s="425"/>
      <c r="I55" s="300"/>
      <c r="J55" s="282"/>
      <c r="K55" s="445"/>
      <c r="L55" s="496"/>
      <c r="M55" s="498"/>
      <c r="N55" s="425"/>
      <c r="O55" s="425"/>
      <c r="P55" s="425"/>
      <c r="Q55" s="425"/>
      <c r="R55" s="425"/>
      <c r="S55" s="300"/>
      <c r="T55" s="282"/>
    </row>
    <row r="56" spans="1:20" ht="12.75" customHeight="1" hidden="1">
      <c r="A56" s="486"/>
      <c r="B56" s="491">
        <v>39</v>
      </c>
      <c r="C56" s="493" t="e">
        <f>VLOOKUP(B56,'пр.взв.'!B$7:H$134,2,FALSE)</f>
        <v>#N/A</v>
      </c>
      <c r="D56" s="422" t="e">
        <f>VLOOKUP(B56,'пр.взв.'!B6:H184,3,FALSE)</f>
        <v>#N/A</v>
      </c>
      <c r="E56" s="422" t="e">
        <f>VLOOKUP(C56,'пр.взв.'!C6:I184,3,FALSE)</f>
        <v>#N/A</v>
      </c>
      <c r="F56" s="422" t="e">
        <f>VLOOKUP(B56,'пр.взв.'!B52:H184,5,FALSE)</f>
        <v>#N/A</v>
      </c>
      <c r="G56" s="426"/>
      <c r="H56" s="426"/>
      <c r="I56" s="273"/>
      <c r="J56" s="273"/>
      <c r="K56" s="445"/>
      <c r="L56" s="491">
        <v>40</v>
      </c>
      <c r="M56" s="493" t="e">
        <f>VLOOKUP(L56,'пр.взв.'!B$2:H$136,2,FALSE)</f>
        <v>#N/A</v>
      </c>
      <c r="N56" s="422" t="e">
        <f>VLOOKUP(L56,'пр.взв.'!B6:H184,3,FALSE)</f>
        <v>#N/A</v>
      </c>
      <c r="O56" s="422" t="e">
        <f>VLOOKUP(M56,'пр.взв.'!C6:I184,3,FALSE)</f>
        <v>#N/A</v>
      </c>
      <c r="P56" s="422" t="e">
        <f>VLOOKUP(L56,'пр.взв.'!B57:H184,5,FALSE)</f>
        <v>#N/A</v>
      </c>
      <c r="Q56" s="426"/>
      <c r="R56" s="426"/>
      <c r="S56" s="273"/>
      <c r="T56" s="273"/>
    </row>
    <row r="57" spans="1:20" ht="12.75" customHeight="1" hidden="1" thickBot="1">
      <c r="A57" s="487"/>
      <c r="B57" s="492"/>
      <c r="C57" s="494"/>
      <c r="D57" s="423"/>
      <c r="E57" s="423"/>
      <c r="F57" s="423"/>
      <c r="G57" s="427"/>
      <c r="H57" s="427"/>
      <c r="I57" s="437"/>
      <c r="J57" s="437"/>
      <c r="K57" s="446"/>
      <c r="L57" s="492"/>
      <c r="M57" s="494"/>
      <c r="N57" s="423"/>
      <c r="O57" s="423"/>
      <c r="P57" s="423"/>
      <c r="Q57" s="427"/>
      <c r="R57" s="427"/>
      <c r="S57" s="437"/>
      <c r="T57" s="437"/>
    </row>
    <row r="58" spans="1:20" ht="12.75" customHeight="1" hidden="1">
      <c r="A58" s="485">
        <v>14</v>
      </c>
      <c r="B58" s="495">
        <v>23</v>
      </c>
      <c r="C58" s="497" t="str">
        <f>VLOOKUP(B58,'пр.взв.'!B$7:H$134,2,FALSE)</f>
        <v>МИХАЛЬЧЕНКО Роман Александрович</v>
      </c>
      <c r="D58" s="424" t="str">
        <f>VLOOKUP(B58,'пр.взв.'!B6:H186,3,FALSE)</f>
        <v>27.06.87 мсмк</v>
      </c>
      <c r="E58" s="424" t="str">
        <f>VLOOKUP(C58,'пр.взв.'!C6:I186,3,FALSE)</f>
        <v>УФО</v>
      </c>
      <c r="F58" s="429" t="str">
        <f>VLOOKUP(B58,'пр.взв.'!B6:H186,5,FALSE)</f>
        <v>Курганская Курган МО</v>
      </c>
      <c r="G58" s="440"/>
      <c r="H58" s="428"/>
      <c r="I58" s="441"/>
      <c r="J58" s="424"/>
      <c r="K58" s="444">
        <v>30</v>
      </c>
      <c r="L58" s="495">
        <v>24</v>
      </c>
      <c r="M58" s="497" t="str">
        <f>VLOOKUP(L58,'пр.взв.'!B$7:H$134,2,FALSE)</f>
        <v>СТАРКОВ Михаил Александрович</v>
      </c>
      <c r="N58" s="424" t="str">
        <f>VLOOKUP(L58,'пр.взв.'!B6:H186,3,FALSE)</f>
        <v>13.07.77, МСМК</v>
      </c>
      <c r="O58" s="424" t="str">
        <f>VLOOKUP(M58,'пр.взв.'!C6:I186,3,FALSE)</f>
        <v>УФО</v>
      </c>
      <c r="P58" s="429" t="str">
        <f>VLOOKUP(L58,'пр.взв.'!B6:H186,5,FALSE)</f>
        <v>Свердловская, Екатеринбург, Д</v>
      </c>
      <c r="Q58" s="440"/>
      <c r="R58" s="428"/>
      <c r="S58" s="441"/>
      <c r="T58" s="424"/>
    </row>
    <row r="59" spans="1:20" ht="12.75" customHeight="1" hidden="1">
      <c r="A59" s="486"/>
      <c r="B59" s="496"/>
      <c r="C59" s="498"/>
      <c r="D59" s="425"/>
      <c r="E59" s="425"/>
      <c r="F59" s="425"/>
      <c r="G59" s="425"/>
      <c r="H59" s="425"/>
      <c r="I59" s="300"/>
      <c r="J59" s="282"/>
      <c r="K59" s="445"/>
      <c r="L59" s="496"/>
      <c r="M59" s="498"/>
      <c r="N59" s="425"/>
      <c r="O59" s="425"/>
      <c r="P59" s="425"/>
      <c r="Q59" s="425"/>
      <c r="R59" s="425"/>
      <c r="S59" s="300"/>
      <c r="T59" s="282"/>
    </row>
    <row r="60" spans="1:20" ht="12.75" customHeight="1" hidden="1">
      <c r="A60" s="486"/>
      <c r="B60" s="491">
        <v>55</v>
      </c>
      <c r="C60" s="493" t="e">
        <f>VLOOKUP(B60,'пр.взв.'!B$7:H$134,2,FALSE)</f>
        <v>#N/A</v>
      </c>
      <c r="D60" s="422" t="e">
        <f>VLOOKUP(B60,'пр.взв.'!B7:H188,3,FALSE)</f>
        <v>#N/A</v>
      </c>
      <c r="E60" s="422" t="e">
        <f>VLOOKUP(C60,'пр.взв.'!C7:I188,3,FALSE)</f>
        <v>#N/A</v>
      </c>
      <c r="F60" s="422" t="e">
        <f>VLOOKUP(B60,'пр.взв.'!B56:H188,5,FALSE)</f>
        <v>#N/A</v>
      </c>
      <c r="G60" s="426"/>
      <c r="H60" s="426"/>
      <c r="I60" s="273"/>
      <c r="J60" s="273"/>
      <c r="K60" s="445"/>
      <c r="L60" s="491">
        <v>56</v>
      </c>
      <c r="M60" s="493" t="e">
        <f>VLOOKUP(L60,'пр.взв.'!B$2:H$136,2,FALSE)</f>
        <v>#N/A</v>
      </c>
      <c r="N60" s="422" t="e">
        <f>VLOOKUP(L60,'пр.взв.'!B7:H188,3,FALSE)</f>
        <v>#N/A</v>
      </c>
      <c r="O60" s="422" t="e">
        <f>VLOOKUP(M60,'пр.взв.'!C7:I188,3,FALSE)</f>
        <v>#N/A</v>
      </c>
      <c r="P60" s="422" t="e">
        <f>VLOOKUP(L60,'пр.взв.'!B61:H188,5,FALSE)</f>
        <v>#N/A</v>
      </c>
      <c r="Q60" s="426"/>
      <c r="R60" s="426"/>
      <c r="S60" s="273"/>
      <c r="T60" s="273"/>
    </row>
    <row r="61" spans="1:20" ht="13.5" customHeight="1" hidden="1" thickBot="1">
      <c r="A61" s="500"/>
      <c r="B61" s="492"/>
      <c r="C61" s="494"/>
      <c r="D61" s="423"/>
      <c r="E61" s="423"/>
      <c r="F61" s="423"/>
      <c r="G61" s="427"/>
      <c r="H61" s="427"/>
      <c r="I61" s="437"/>
      <c r="J61" s="437"/>
      <c r="K61" s="446"/>
      <c r="L61" s="492"/>
      <c r="M61" s="494"/>
      <c r="N61" s="423"/>
      <c r="O61" s="423"/>
      <c r="P61" s="423"/>
      <c r="Q61" s="427"/>
      <c r="R61" s="427"/>
      <c r="S61" s="437"/>
      <c r="T61" s="437"/>
    </row>
    <row r="62" spans="1:20" ht="12.75" customHeight="1" hidden="1">
      <c r="A62" s="485">
        <v>15</v>
      </c>
      <c r="B62" s="495">
        <v>15</v>
      </c>
      <c r="C62" s="497" t="str">
        <f>VLOOKUP(B62,'пр.взв.'!B$7:H$134,2,FALSE)</f>
        <v>ХОРПЯКОВ Олег Вячеславович</v>
      </c>
      <c r="D62" s="429" t="str">
        <f>VLOOKUP(B62,'пр.взв.'!B7:H190,3,FALSE)</f>
        <v>28.02.77, МСМК</v>
      </c>
      <c r="E62" s="429" t="str">
        <f>VLOOKUP(C62,'пр.взв.'!C7:I190,3,FALSE)</f>
        <v>МОС</v>
      </c>
      <c r="F62" s="429" t="str">
        <f>VLOOKUP(B62,'пр.взв.'!B6:H190,5,FALSE)</f>
        <v>Москва, Д</v>
      </c>
      <c r="G62" s="459"/>
      <c r="H62" s="460"/>
      <c r="I62" s="322"/>
      <c r="J62" s="274"/>
      <c r="K62" s="444">
        <v>31</v>
      </c>
      <c r="L62" s="495">
        <v>16</v>
      </c>
      <c r="M62" s="497" t="str">
        <f>VLOOKUP(L62,'пр.взв.'!B$7:H$134,2,FALSE)</f>
        <v>ГОНЧАРУК Роман Михайлович</v>
      </c>
      <c r="N62" s="429" t="str">
        <f>VLOOKUP(L62,'пр.взв.'!B7:H190,3,FALSE)</f>
        <v>24.06.93, МС</v>
      </c>
      <c r="O62" s="429" t="str">
        <f>VLOOKUP(M62,'пр.взв.'!C7:I190,3,FALSE)</f>
        <v>МОС</v>
      </c>
      <c r="P62" s="429" t="str">
        <f>VLOOKUP(L62,'пр.взв.'!B2:H190,5,FALSE)</f>
        <v>Москва</v>
      </c>
      <c r="Q62" s="459"/>
      <c r="R62" s="460"/>
      <c r="S62" s="322"/>
      <c r="T62" s="274"/>
    </row>
    <row r="63" spans="1:20" ht="12.75" customHeight="1" hidden="1">
      <c r="A63" s="486"/>
      <c r="B63" s="496"/>
      <c r="C63" s="498"/>
      <c r="D63" s="425"/>
      <c r="E63" s="425"/>
      <c r="F63" s="425"/>
      <c r="G63" s="425"/>
      <c r="H63" s="425"/>
      <c r="I63" s="300"/>
      <c r="J63" s="282"/>
      <c r="K63" s="445"/>
      <c r="L63" s="496"/>
      <c r="M63" s="498"/>
      <c r="N63" s="425"/>
      <c r="O63" s="425"/>
      <c r="P63" s="425"/>
      <c r="Q63" s="425"/>
      <c r="R63" s="425"/>
      <c r="S63" s="300"/>
      <c r="T63" s="282"/>
    </row>
    <row r="64" spans="1:20" ht="12.75" customHeight="1" hidden="1">
      <c r="A64" s="486"/>
      <c r="B64" s="491">
        <v>47</v>
      </c>
      <c r="C64" s="493" t="e">
        <f>VLOOKUP(B64,'пр.взв.'!B$7:H$134,2,FALSE)</f>
        <v>#N/A</v>
      </c>
      <c r="D64" s="422" t="e">
        <f>VLOOKUP(B64,'пр.взв.'!B7:H192,3,FALSE)</f>
        <v>#N/A</v>
      </c>
      <c r="E64" s="422" t="e">
        <f>VLOOKUP(C64,'пр.взв.'!C7:I192,3,FALSE)</f>
        <v>#N/A</v>
      </c>
      <c r="F64" s="422" t="e">
        <f>VLOOKUP(B64,'пр.взв.'!B60:H192,5,FALSE)</f>
        <v>#N/A</v>
      </c>
      <c r="G64" s="426"/>
      <c r="H64" s="426"/>
      <c r="I64" s="273"/>
      <c r="J64" s="273"/>
      <c r="K64" s="445"/>
      <c r="L64" s="491">
        <v>48</v>
      </c>
      <c r="M64" s="493" t="e">
        <f>VLOOKUP(L64,'пр.взв.'!B$2:H$136,2,FALSE)</f>
        <v>#N/A</v>
      </c>
      <c r="N64" s="422" t="e">
        <f>VLOOKUP(L64,'пр.взв.'!B7:H192,3,FALSE)</f>
        <v>#N/A</v>
      </c>
      <c r="O64" s="422" t="e">
        <f>VLOOKUP(M64,'пр.взв.'!C7:I192,3,FALSE)</f>
        <v>#N/A</v>
      </c>
      <c r="P64" s="422" t="e">
        <f>VLOOKUP(L64,'пр.взв.'!B65:H192,5,FALSE)</f>
        <v>#N/A</v>
      </c>
      <c r="Q64" s="426"/>
      <c r="R64" s="426"/>
      <c r="S64" s="273"/>
      <c r="T64" s="273"/>
    </row>
    <row r="65" spans="1:20" ht="13.5" customHeight="1" hidden="1" thickBot="1">
      <c r="A65" s="487"/>
      <c r="B65" s="492"/>
      <c r="C65" s="494"/>
      <c r="D65" s="423"/>
      <c r="E65" s="423"/>
      <c r="F65" s="423"/>
      <c r="G65" s="427"/>
      <c r="H65" s="427"/>
      <c r="I65" s="437"/>
      <c r="J65" s="437"/>
      <c r="K65" s="446"/>
      <c r="L65" s="492"/>
      <c r="M65" s="494"/>
      <c r="N65" s="423"/>
      <c r="O65" s="423"/>
      <c r="P65" s="423"/>
      <c r="Q65" s="427"/>
      <c r="R65" s="427"/>
      <c r="S65" s="437"/>
      <c r="T65" s="437"/>
    </row>
    <row r="66" spans="1:20" ht="12.75" customHeight="1" hidden="1">
      <c r="A66" s="501">
        <v>16</v>
      </c>
      <c r="B66" s="495">
        <v>31</v>
      </c>
      <c r="C66" s="497" t="str">
        <f>VLOOKUP(B66,'пр.взв.'!B$7:H$134,2,FALSE)</f>
        <v>САЛАМАХА Николай Анатольевич</v>
      </c>
      <c r="D66" s="429" t="str">
        <f>VLOOKUP(B66,'пр.взв.'!B7:H194,3,FALSE)</f>
        <v>02.01.1991, кмс</v>
      </c>
      <c r="E66" s="429" t="str">
        <f>VLOOKUP(C66,'пр.взв.'!C7:I194,3,FALSE)</f>
        <v>СЕВ</v>
      </c>
      <c r="F66" s="429" t="str">
        <f>VLOOKUP(B66,'пр.взв.'!B62:H194,5,FALSE)</f>
        <v>Севастополь</v>
      </c>
      <c r="G66" s="425"/>
      <c r="H66" s="499"/>
      <c r="I66" s="300"/>
      <c r="J66" s="422"/>
      <c r="K66" s="444">
        <v>32</v>
      </c>
      <c r="L66" s="495">
        <v>32</v>
      </c>
      <c r="M66" s="497" t="str">
        <f>VLOOKUP(L66,'пр.взв.'!B$7:H$134,2,FALSE)</f>
        <v>ТУНАКОВ Александр Сергеевич</v>
      </c>
      <c r="N66" s="429" t="str">
        <f>VLOOKUP(L66,'пр.взв.'!B7:H194,3,FALSE)</f>
        <v>25.08.94, МС</v>
      </c>
      <c r="O66" s="429" t="str">
        <f>VLOOKUP(M66,'пр.взв.'!C7:I194,3,FALSE)</f>
        <v>ПФО</v>
      </c>
      <c r="P66" s="429" t="str">
        <f>VLOOKUP(L66,'пр.взв.'!B67:H194,5,FALSE)</f>
        <v>Нижегородская, Н.Новгород, ПР</v>
      </c>
      <c r="Q66" s="425"/>
      <c r="R66" s="499"/>
      <c r="S66" s="300"/>
      <c r="T66" s="422"/>
    </row>
    <row r="67" spans="1:20" ht="12.75" customHeight="1" hidden="1">
      <c r="A67" s="502"/>
      <c r="B67" s="496"/>
      <c r="C67" s="498"/>
      <c r="D67" s="425"/>
      <c r="E67" s="425"/>
      <c r="F67" s="425"/>
      <c r="G67" s="425"/>
      <c r="H67" s="425"/>
      <c r="I67" s="300"/>
      <c r="J67" s="282"/>
      <c r="K67" s="445"/>
      <c r="L67" s="496"/>
      <c r="M67" s="498"/>
      <c r="N67" s="425"/>
      <c r="O67" s="425"/>
      <c r="P67" s="425"/>
      <c r="Q67" s="425"/>
      <c r="R67" s="425"/>
      <c r="S67" s="300"/>
      <c r="T67" s="282"/>
    </row>
    <row r="68" spans="1:20" ht="12.75" customHeight="1" hidden="1">
      <c r="A68" s="502"/>
      <c r="B68" s="491">
        <v>63</v>
      </c>
      <c r="C68" s="493" t="e">
        <f>VLOOKUP(B68,'пр.взв.'!B$7:H$134,2,FALSE)</f>
        <v>#N/A</v>
      </c>
      <c r="D68" s="422" t="e">
        <f>VLOOKUP(B68,'пр.взв.'!B7:H196,3,FALSE)</f>
        <v>#N/A</v>
      </c>
      <c r="E68" s="422" t="e">
        <f>VLOOKUP(C68,'пр.взв.'!C7:I196,3,FALSE)</f>
        <v>#N/A</v>
      </c>
      <c r="F68" s="429" t="e">
        <f>VLOOKUP(B68,'пр.взв.'!B64:H196,5,FALSE)</f>
        <v>#N/A</v>
      </c>
      <c r="G68" s="426"/>
      <c r="H68" s="426"/>
      <c r="I68" s="273"/>
      <c r="J68" s="273"/>
      <c r="K68" s="445"/>
      <c r="L68" s="491">
        <v>64</v>
      </c>
      <c r="M68" s="493" t="e">
        <f>VLOOKUP(L68,'пр.взв.'!B$2:H$136,2,FALSE)</f>
        <v>#N/A</v>
      </c>
      <c r="N68" s="422" t="e">
        <f>VLOOKUP(L68,'пр.взв.'!B7:H196,3,FALSE)</f>
        <v>#N/A</v>
      </c>
      <c r="O68" s="422" t="e">
        <f>VLOOKUP(M68,'пр.взв.'!C7:I196,3,FALSE)</f>
        <v>#N/A</v>
      </c>
      <c r="P68" s="429" t="e">
        <f>VLOOKUP(L68,'пр.взв.'!B69:H196,5,FALSE)</f>
        <v>#N/A</v>
      </c>
      <c r="Q68" s="426"/>
      <c r="R68" s="426"/>
      <c r="S68" s="273"/>
      <c r="T68" s="273"/>
    </row>
    <row r="69" spans="1:20" ht="12.75" customHeight="1" hidden="1" thickBot="1">
      <c r="A69" s="503"/>
      <c r="B69" s="492"/>
      <c r="C69" s="494"/>
      <c r="D69" s="423"/>
      <c r="E69" s="423"/>
      <c r="F69" s="423"/>
      <c r="G69" s="427"/>
      <c r="H69" s="427"/>
      <c r="I69" s="437"/>
      <c r="J69" s="437"/>
      <c r="K69" s="446"/>
      <c r="L69" s="492"/>
      <c r="M69" s="494"/>
      <c r="N69" s="423"/>
      <c r="O69" s="423"/>
      <c r="P69" s="423"/>
      <c r="Q69" s="427"/>
      <c r="R69" s="427"/>
      <c r="S69" s="437"/>
      <c r="T69" s="437"/>
    </row>
    <row r="70" spans="1:20" ht="12.75" customHeight="1">
      <c r="A70" s="74"/>
      <c r="B70" s="75"/>
      <c r="C70" s="76"/>
      <c r="D70" s="39"/>
      <c r="E70" s="39"/>
      <c r="F70" s="39"/>
      <c r="G70" s="39"/>
      <c r="H70" s="39"/>
      <c r="I70" s="77"/>
      <c r="J70" s="77"/>
      <c r="K70" s="74"/>
      <c r="L70" s="75"/>
      <c r="M70" s="76"/>
      <c r="N70" s="39"/>
      <c r="O70" s="39"/>
      <c r="P70" s="39"/>
      <c r="Q70" s="39"/>
      <c r="R70" s="39"/>
      <c r="S70" s="77"/>
      <c r="T70" s="77"/>
    </row>
    <row r="71" spans="2:20" ht="25.5" customHeight="1" hidden="1" thickBot="1">
      <c r="B71" s="71" t="s">
        <v>39</v>
      </c>
      <c r="C71" s="72" t="s">
        <v>40</v>
      </c>
      <c r="D71" s="73" t="s">
        <v>41</v>
      </c>
      <c r="E71" s="73"/>
      <c r="F71" s="72"/>
      <c r="G71" s="71" t="str">
        <f>B2</f>
        <v>в.к. св 100 кг.</v>
      </c>
      <c r="H71" s="72"/>
      <c r="I71" s="72"/>
      <c r="J71" s="72"/>
      <c r="K71" s="72"/>
      <c r="L71" s="71" t="s">
        <v>1</v>
      </c>
      <c r="M71" s="72" t="s">
        <v>40</v>
      </c>
      <c r="N71" s="73" t="s">
        <v>41</v>
      </c>
      <c r="O71" s="73"/>
      <c r="P71" s="72"/>
      <c r="Q71" s="71" t="str">
        <f>G71</f>
        <v>в.к. св 100 кг.</v>
      </c>
      <c r="R71" s="72"/>
      <c r="S71" s="72"/>
      <c r="T71" s="72"/>
    </row>
    <row r="72" spans="1:20" ht="12.75" customHeight="1" hidden="1">
      <c r="A72" s="471" t="s">
        <v>42</v>
      </c>
      <c r="B72" s="473" t="s">
        <v>3</v>
      </c>
      <c r="C72" s="464" t="s">
        <v>4</v>
      </c>
      <c r="D72" s="434" t="s">
        <v>13</v>
      </c>
      <c r="E72" s="430" t="s">
        <v>14</v>
      </c>
      <c r="F72" s="431"/>
      <c r="G72" s="464" t="s">
        <v>15</v>
      </c>
      <c r="H72" s="466" t="s">
        <v>43</v>
      </c>
      <c r="I72" s="468" t="s">
        <v>44</v>
      </c>
      <c r="J72" s="469" t="s">
        <v>17</v>
      </c>
      <c r="K72" s="471" t="s">
        <v>42</v>
      </c>
      <c r="L72" s="473" t="s">
        <v>3</v>
      </c>
      <c r="M72" s="464" t="s">
        <v>4</v>
      </c>
      <c r="N72" s="434" t="s">
        <v>13</v>
      </c>
      <c r="O72" s="430" t="s">
        <v>14</v>
      </c>
      <c r="P72" s="431"/>
      <c r="Q72" s="464" t="s">
        <v>15</v>
      </c>
      <c r="R72" s="466" t="s">
        <v>43</v>
      </c>
      <c r="S72" s="468" t="s">
        <v>44</v>
      </c>
      <c r="T72" s="469" t="s">
        <v>17</v>
      </c>
    </row>
    <row r="73" spans="1:20" ht="12.75" customHeight="1" hidden="1" thickBot="1">
      <c r="A73" s="472"/>
      <c r="B73" s="488" t="s">
        <v>45</v>
      </c>
      <c r="C73" s="465"/>
      <c r="D73" s="435"/>
      <c r="E73" s="432"/>
      <c r="F73" s="433"/>
      <c r="G73" s="465"/>
      <c r="H73" s="467"/>
      <c r="I73" s="437"/>
      <c r="J73" s="470" t="s">
        <v>46</v>
      </c>
      <c r="K73" s="472"/>
      <c r="L73" s="488" t="s">
        <v>45</v>
      </c>
      <c r="M73" s="465"/>
      <c r="N73" s="435"/>
      <c r="O73" s="432"/>
      <c r="P73" s="433"/>
      <c r="Q73" s="465"/>
      <c r="R73" s="467"/>
      <c r="S73" s="437"/>
      <c r="T73" s="470" t="s">
        <v>46</v>
      </c>
    </row>
    <row r="74" spans="1:20" ht="13.5" customHeight="1" hidden="1">
      <c r="A74" s="485">
        <v>1</v>
      </c>
      <c r="B74" s="495">
        <f>'пр.хода'!E6</f>
        <v>1</v>
      </c>
      <c r="C74" s="449" t="str">
        <f>VLOOKUP(B74,'пр.взв.'!B$7:H$147,2,FALSE)</f>
        <v>ДЕМЕНКОВ Александр Михайлович</v>
      </c>
      <c r="D74" s="429" t="str">
        <f>VLOOKUP(B74,'пр.взв.'!B7:H134,3,FALSE)</f>
        <v>14.09.97, КМС</v>
      </c>
      <c r="E74" s="429" t="str">
        <f>VLOOKUP(C74,'пр.взв.'!C7:I134,3,FALSE)</f>
        <v>МОС</v>
      </c>
      <c r="F74" s="429" t="str">
        <f>VLOOKUP(B74,'пр.взв.'!B$7:H$134,5,FALSE)</f>
        <v>Москва, Д</v>
      </c>
      <c r="G74" s="429"/>
      <c r="H74" s="495"/>
      <c r="I74" s="497"/>
      <c r="J74" s="429"/>
      <c r="K74" s="444">
        <v>9</v>
      </c>
      <c r="L74" s="495">
        <f>'пр.хода'!AA6</f>
        <v>2</v>
      </c>
      <c r="M74" s="449" t="str">
        <f>VLOOKUP(L74,'пр.взв.'!B$7:H$134,2,FALSE)</f>
        <v>МЕДВЕДЕВ Виктор Алексеевич</v>
      </c>
      <c r="N74" s="429" t="str">
        <f>VLOOKUP(L74,'пр.взв.'!B7:H134,3,FALSE)</f>
        <v>16.06.94 мс</v>
      </c>
      <c r="O74" s="429" t="str">
        <f>VLOOKUP(M74,'пр.взв.'!C7:I134,3,FALSE)</f>
        <v>ЦФО</v>
      </c>
      <c r="P74" s="429" t="str">
        <f>VLOOKUP(L74,'пр.взв.'!B7:H134,5,FALSE)</f>
        <v>Московская, Мытищи</v>
      </c>
      <c r="Q74" s="459"/>
      <c r="R74" s="460"/>
      <c r="S74" s="322"/>
      <c r="T74" s="274"/>
    </row>
    <row r="75" spans="1:20" ht="12.75" customHeight="1" hidden="1">
      <c r="A75" s="486"/>
      <c r="B75" s="496"/>
      <c r="C75" s="450"/>
      <c r="D75" s="425"/>
      <c r="E75" s="425"/>
      <c r="F75" s="425"/>
      <c r="G75" s="425"/>
      <c r="H75" s="496"/>
      <c r="I75" s="498"/>
      <c r="J75" s="425"/>
      <c r="K75" s="445"/>
      <c r="L75" s="496"/>
      <c r="M75" s="450"/>
      <c r="N75" s="425"/>
      <c r="O75" s="425"/>
      <c r="P75" s="425"/>
      <c r="Q75" s="425"/>
      <c r="R75" s="425"/>
      <c r="S75" s="300"/>
      <c r="T75" s="282"/>
    </row>
    <row r="76" spans="1:20" ht="12.75" customHeight="1" hidden="1">
      <c r="A76" s="486"/>
      <c r="B76" s="491">
        <f>'пр.хода'!E10</f>
        <v>17</v>
      </c>
      <c r="C76" s="453" t="str">
        <f>VLOOKUP(B76,'пр.взв.'!B$7:H$149,2,FALSE)</f>
        <v>САРИБЕКЯН Павел Андреевич</v>
      </c>
      <c r="D76" s="422" t="str">
        <f>VLOOKUP(B76,'пр.взв.'!B6:H136,3,FALSE)</f>
        <v>13.07.92, МС</v>
      </c>
      <c r="E76" s="422" t="str">
        <f>VLOOKUP(C76,'пр.взв.'!C6:I136,3,FALSE)</f>
        <v>ЮФО</v>
      </c>
      <c r="F76" s="429" t="str">
        <f>VLOOKUP(B76,'пр.взв.'!B$7:H$134,5,FALSE)</f>
        <v>Краснодарский край Курганинск, Д</v>
      </c>
      <c r="G76" s="422"/>
      <c r="H76" s="491"/>
      <c r="I76" s="493"/>
      <c r="J76" s="422"/>
      <c r="K76" s="445"/>
      <c r="L76" s="491">
        <f>'пр.хода'!AA10</f>
        <v>18</v>
      </c>
      <c r="M76" s="453" t="str">
        <f>VLOOKUP(L76,'пр.взв.'!B$7:H$136,2,FALSE)</f>
        <v>ХАПЦЕВ Артур Русланович</v>
      </c>
      <c r="N76" s="422" t="str">
        <f>VLOOKUP(L76,'пр.взв.'!B2:H136,3,FALSE)</f>
        <v>15.01.88, МС</v>
      </c>
      <c r="O76" s="422" t="str">
        <f>VLOOKUP(M76,'пр.взв.'!C2:I136,3,FALSE)</f>
        <v>УФО</v>
      </c>
      <c r="P76" s="422" t="str">
        <f>VLOOKUP(L76,'пр.взв.'!B9:H136,5,FALSE)</f>
        <v>Тюменская, Тюмень, Д</v>
      </c>
      <c r="Q76" s="426"/>
      <c r="R76" s="426"/>
      <c r="S76" s="273"/>
      <c r="T76" s="273"/>
    </row>
    <row r="77" spans="1:20" ht="12.75" customHeight="1" hidden="1" thickBot="1">
      <c r="A77" s="487"/>
      <c r="B77" s="492"/>
      <c r="C77" s="454"/>
      <c r="D77" s="423"/>
      <c r="E77" s="423"/>
      <c r="F77" s="425"/>
      <c r="G77" s="423"/>
      <c r="H77" s="492"/>
      <c r="I77" s="494"/>
      <c r="J77" s="423"/>
      <c r="K77" s="446"/>
      <c r="L77" s="492"/>
      <c r="M77" s="454"/>
      <c r="N77" s="423"/>
      <c r="O77" s="423"/>
      <c r="P77" s="423"/>
      <c r="Q77" s="427"/>
      <c r="R77" s="427"/>
      <c r="S77" s="437"/>
      <c r="T77" s="437"/>
    </row>
    <row r="78" spans="1:20" ht="12.75" customHeight="1" hidden="1">
      <c r="A78" s="485">
        <v>2</v>
      </c>
      <c r="B78" s="495">
        <f>'пр.хода'!E14</f>
        <v>9</v>
      </c>
      <c r="C78" s="449" t="str">
        <f>VLOOKUP(B78,'пр.взв.'!B$7:H$147,2,FALSE)</f>
        <v>ДЬЯКОНОВ Иван Викторович</v>
      </c>
      <c r="D78" s="424" t="str">
        <f>VLOOKUP(B78,'пр.взв.'!B1:H138,3,FALSE)</f>
        <v>27.08.86 мс</v>
      </c>
      <c r="E78" s="424" t="str">
        <f>VLOOKUP(C78,'пр.взв.'!C1:I138,3,FALSE)</f>
        <v>СЗФО</v>
      </c>
      <c r="F78" s="429" t="str">
        <f>VLOOKUP(B78,'пр.взв.'!B$7:H$134,5,FALSE)</f>
        <v> Коми Сыктывкар МО</v>
      </c>
      <c r="G78" s="424"/>
      <c r="H78" s="495"/>
      <c r="I78" s="504"/>
      <c r="J78" s="424"/>
      <c r="K78" s="444">
        <v>10</v>
      </c>
      <c r="L78" s="495">
        <f>'пр.хода'!AA14</f>
        <v>10</v>
      </c>
      <c r="M78" s="449" t="str">
        <f>VLOOKUP(L78,'пр.взв.'!B$7:H$134,2,FALSE)</f>
        <v>МЕРЕТУКОВ Заур Довлетбиевич</v>
      </c>
      <c r="N78" s="424" t="str">
        <f>VLOOKUP(L78,'пр.взв.'!B1:H138,3,FALSE)</f>
        <v>08.10.93, КМС</v>
      </c>
      <c r="O78" s="424" t="str">
        <f>VLOOKUP(M78,'пр.взв.'!C1:I138,3,FALSE)</f>
        <v>МОС</v>
      </c>
      <c r="P78" s="429" t="str">
        <f>VLOOKUP(L78,'пр.взв.'!B11:H138,5,FALSE)</f>
        <v>Москва</v>
      </c>
      <c r="Q78" s="440"/>
      <c r="R78" s="428"/>
      <c r="S78" s="441"/>
      <c r="T78" s="424"/>
    </row>
    <row r="79" spans="1:20" ht="12.75" hidden="1">
      <c r="A79" s="486"/>
      <c r="B79" s="496"/>
      <c r="C79" s="450"/>
      <c r="D79" s="425"/>
      <c r="E79" s="425"/>
      <c r="F79" s="425"/>
      <c r="G79" s="425"/>
      <c r="H79" s="496"/>
      <c r="I79" s="498"/>
      <c r="J79" s="425"/>
      <c r="K79" s="445"/>
      <c r="L79" s="496"/>
      <c r="M79" s="450"/>
      <c r="N79" s="425"/>
      <c r="O79" s="425"/>
      <c r="P79" s="425"/>
      <c r="Q79" s="425"/>
      <c r="R79" s="425"/>
      <c r="S79" s="300"/>
      <c r="T79" s="282"/>
    </row>
    <row r="80" spans="1:20" ht="12.75" customHeight="1" hidden="1">
      <c r="A80" s="486"/>
      <c r="B80" s="491">
        <f>'пр.хода'!E18</f>
        <v>25</v>
      </c>
      <c r="C80" s="453" t="str">
        <f>VLOOKUP(B80,'пр.взв.'!B$7:H$149,2,FALSE)</f>
        <v>ЧЕРНЫШОВ Антон Геннадьевич</v>
      </c>
      <c r="D80" s="422" t="str">
        <f>VLOOKUP(B80,'пр.взв.'!B1:H140,3,FALSE)</f>
        <v>15.11.92, МС</v>
      </c>
      <c r="E80" s="422" t="str">
        <f>VLOOKUP(C80,'пр.взв.'!C1:I140,3,FALSE)</f>
        <v>МОС</v>
      </c>
      <c r="F80" s="429" t="str">
        <f>VLOOKUP(B80,'пр.взв.'!B$7:H$134,5,FALSE)</f>
        <v>Москва, ЛОК</v>
      </c>
      <c r="G80" s="422"/>
      <c r="H80" s="491"/>
      <c r="I80" s="493"/>
      <c r="J80" s="422"/>
      <c r="K80" s="445"/>
      <c r="L80" s="491">
        <f>'пр.хода'!AA18</f>
        <v>26</v>
      </c>
      <c r="M80" s="453" t="str">
        <f>VLOOKUP(L80,'пр.взв.'!B$7:H$136,2,FALSE)</f>
        <v>АРСЛАНОВ Рустем Разитович</v>
      </c>
      <c r="N80" s="422" t="str">
        <f>VLOOKUP(L80,'пр.взв.'!B1:H140,3,FALSE)</f>
        <v>31.07.80 мс</v>
      </c>
      <c r="O80" s="422" t="str">
        <f>VLOOKUP(M80,'пр.взв.'!C1:I140,3,FALSE)</f>
        <v>ПФО</v>
      </c>
      <c r="P80" s="422" t="str">
        <f>VLOOKUP(L80,'пр.взв.'!B13:H140,5,FALSE)</f>
        <v>Башкортостан Уфа Д</v>
      </c>
      <c r="Q80" s="426"/>
      <c r="R80" s="426"/>
      <c r="S80" s="273"/>
      <c r="T80" s="273"/>
    </row>
    <row r="81" spans="1:20" ht="13.5" hidden="1" thickBot="1">
      <c r="A81" s="487"/>
      <c r="B81" s="492"/>
      <c r="C81" s="454"/>
      <c r="D81" s="423"/>
      <c r="E81" s="423"/>
      <c r="F81" s="425"/>
      <c r="G81" s="423"/>
      <c r="H81" s="492"/>
      <c r="I81" s="494"/>
      <c r="J81" s="423"/>
      <c r="K81" s="446"/>
      <c r="L81" s="492"/>
      <c r="M81" s="454"/>
      <c r="N81" s="423"/>
      <c r="O81" s="423"/>
      <c r="P81" s="423"/>
      <c r="Q81" s="427"/>
      <c r="R81" s="427"/>
      <c r="S81" s="437"/>
      <c r="T81" s="437"/>
    </row>
    <row r="82" spans="1:20" ht="12.75" customHeight="1" hidden="1">
      <c r="A82" s="485">
        <v>3</v>
      </c>
      <c r="B82" s="495">
        <f>'пр.хода'!E22</f>
        <v>5</v>
      </c>
      <c r="C82" s="449" t="str">
        <f>VLOOKUP(B82,'пр.взв.'!B$7:H$147,2,FALSE)</f>
        <v>ГЕНИЯТОВ Глеб Эдуардович</v>
      </c>
      <c r="D82" s="429" t="str">
        <f>VLOOKUP(B82,'пр.взв.'!B1:H142,3,FALSE)</f>
        <v>29.04.85, МС</v>
      </c>
      <c r="E82" s="429" t="str">
        <f>VLOOKUP(C82,'пр.взв.'!C1:I142,3,FALSE)</f>
        <v>УФО</v>
      </c>
      <c r="F82" s="429" t="str">
        <f>VLOOKUP(B82,'пр.взв.'!B$7:H$134,5,FALSE)</f>
        <v>Свердловская, Екатеринбург, ПР</v>
      </c>
      <c r="G82" s="429"/>
      <c r="H82" s="495"/>
      <c r="I82" s="497"/>
      <c r="J82" s="429"/>
      <c r="K82" s="444">
        <v>11</v>
      </c>
      <c r="L82" s="495">
        <f>'пр.хода'!AA22</f>
        <v>6</v>
      </c>
      <c r="M82" s="449" t="str">
        <f>VLOOKUP(L82,'пр.взв.'!B$7:H$134,2,FALSE)</f>
        <v>КУЧУМОВ Александр Николаевич</v>
      </c>
      <c r="N82" s="429" t="str">
        <f>VLOOKUP(L82,'пр.взв.'!B1:H142,3,FALSE)</f>
        <v>06.11.90, мсмк</v>
      </c>
      <c r="O82" s="429" t="str">
        <f>VLOOKUP(M82,'пр.взв.'!C1:I142,3,FALSE)</f>
        <v>МОС</v>
      </c>
      <c r="P82" s="429" t="str">
        <f>VLOOKUP(L82,'пр.взв.'!B15:H142,5,FALSE)</f>
        <v>г. Москва, Д</v>
      </c>
      <c r="Q82" s="459"/>
      <c r="R82" s="460"/>
      <c r="S82" s="322"/>
      <c r="T82" s="274"/>
    </row>
    <row r="83" spans="1:20" ht="13.5" customHeight="1" hidden="1">
      <c r="A83" s="486"/>
      <c r="B83" s="496"/>
      <c r="C83" s="450"/>
      <c r="D83" s="425"/>
      <c r="E83" s="425"/>
      <c r="F83" s="425"/>
      <c r="G83" s="425"/>
      <c r="H83" s="496"/>
      <c r="I83" s="498"/>
      <c r="J83" s="425"/>
      <c r="K83" s="445"/>
      <c r="L83" s="496"/>
      <c r="M83" s="450"/>
      <c r="N83" s="425"/>
      <c r="O83" s="425"/>
      <c r="P83" s="425"/>
      <c r="Q83" s="425"/>
      <c r="R83" s="425"/>
      <c r="S83" s="300"/>
      <c r="T83" s="282"/>
    </row>
    <row r="84" spans="1:20" ht="12.75" customHeight="1" hidden="1">
      <c r="A84" s="486"/>
      <c r="B84" s="491">
        <f>'пр.хода'!E26</f>
        <v>21</v>
      </c>
      <c r="C84" s="453" t="str">
        <f>VLOOKUP(B84,'пр.взв.'!B$7:H$149,2,FALSE)</f>
        <v>ЛУКЬЯНОВ Святослав Сергеевич</v>
      </c>
      <c r="D84" s="422" t="str">
        <f>VLOOKUP(B84,'пр.взв.'!B1:H144,3,FALSE)</f>
        <v>26.04.91 мс</v>
      </c>
      <c r="E84" s="422" t="str">
        <f>VLOOKUP(C84,'пр.взв.'!C1:I144,3,FALSE)</f>
        <v>КФО</v>
      </c>
      <c r="F84" s="429" t="str">
        <f>VLOOKUP(B84,'пр.взв.'!B$7:H$134,5,FALSE)</f>
        <v>Р. Крым, Евпатория</v>
      </c>
      <c r="G84" s="422"/>
      <c r="H84" s="491"/>
      <c r="I84" s="493"/>
      <c r="J84" s="422"/>
      <c r="K84" s="445"/>
      <c r="L84" s="491">
        <f>'пр.хода'!AA26</f>
        <v>22</v>
      </c>
      <c r="M84" s="453" t="str">
        <f>VLOOKUP(L84,'пр.взв.'!B$7:H$136,2,FALSE)</f>
        <v>ГЛАДКОВ Алексей Иванович</v>
      </c>
      <c r="N84" s="422" t="str">
        <f>VLOOKUP(L84,'пр.взв.'!B1:H144,3,FALSE)</f>
        <v>24.11.85, МС</v>
      </c>
      <c r="O84" s="422" t="str">
        <f>VLOOKUP(M84,'пр.взв.'!C1:I144,3,FALSE)</f>
        <v>СПБ</v>
      </c>
      <c r="P84" s="422" t="str">
        <f>VLOOKUP(L84,'пр.взв.'!B17:H144,5,FALSE)</f>
        <v>С-Петербург, Д</v>
      </c>
      <c r="Q84" s="426"/>
      <c r="R84" s="426"/>
      <c r="S84" s="273"/>
      <c r="T84" s="273"/>
    </row>
    <row r="85" spans="1:20" ht="12.75" customHeight="1" hidden="1" thickBot="1">
      <c r="A85" s="487"/>
      <c r="B85" s="492"/>
      <c r="C85" s="454"/>
      <c r="D85" s="423"/>
      <c r="E85" s="423"/>
      <c r="F85" s="425"/>
      <c r="G85" s="423"/>
      <c r="H85" s="492"/>
      <c r="I85" s="494"/>
      <c r="J85" s="423"/>
      <c r="K85" s="446"/>
      <c r="L85" s="492"/>
      <c r="M85" s="454"/>
      <c r="N85" s="423"/>
      <c r="O85" s="423"/>
      <c r="P85" s="423"/>
      <c r="Q85" s="427"/>
      <c r="R85" s="427"/>
      <c r="S85" s="437"/>
      <c r="T85" s="437"/>
    </row>
    <row r="86" spans="1:20" ht="12.75" customHeight="1" hidden="1">
      <c r="A86" s="485">
        <v>4</v>
      </c>
      <c r="B86" s="495">
        <f>'пр.хода'!E30</f>
        <v>13</v>
      </c>
      <c r="C86" s="449" t="str">
        <f>VLOOKUP(B86,'пр.взв.'!B$7:H$147,2,FALSE)</f>
        <v>КОМЛЕВ Роман Олегович</v>
      </c>
      <c r="D86" s="424" t="str">
        <f>VLOOKUP(B86,'пр.взв.'!B1:H146,3,FALSE)</f>
        <v>15.09.89, МС</v>
      </c>
      <c r="E86" s="424" t="str">
        <f>VLOOKUP(C86,'пр.взв.'!C1:I146,3,FALSE)</f>
        <v>СФО</v>
      </c>
      <c r="F86" s="429" t="str">
        <f>VLOOKUP(B86,'пр.взв.'!B$7:H$134,5,FALSE)</f>
        <v>Кемеровская, Новокузнецк, МО</v>
      </c>
      <c r="G86" s="424"/>
      <c r="H86" s="495"/>
      <c r="I86" s="504"/>
      <c r="J86" s="424"/>
      <c r="K86" s="444">
        <v>12</v>
      </c>
      <c r="L86" s="495">
        <f>'пр.хода'!AA30</f>
        <v>14</v>
      </c>
      <c r="M86" s="449" t="str">
        <f>VLOOKUP(L86,'пр.взв.'!B$7:H$134,2,FALSE)</f>
        <v>КУНДУКОВ Роман Николаевич</v>
      </c>
      <c r="N86" s="424" t="str">
        <f>VLOOKUP(L86,'пр.взв.'!B1:H146,3,FALSE)</f>
        <v>11.11.93, кмс</v>
      </c>
      <c r="O86" s="424" t="str">
        <f>VLOOKUP(M86,'пр.взв.'!C1:I146,3,FALSE)</f>
        <v>СЗФО</v>
      </c>
      <c r="P86" s="429" t="str">
        <f>VLOOKUP(L86,'пр.взв.'!B19:H146,5,FALSE)</f>
        <v>Ленинградская об., Выборг МО</v>
      </c>
      <c r="Q86" s="425"/>
      <c r="R86" s="499"/>
      <c r="S86" s="300"/>
      <c r="T86" s="422"/>
    </row>
    <row r="87" spans="1:20" ht="13.5" customHeight="1" hidden="1">
      <c r="A87" s="486"/>
      <c r="B87" s="496"/>
      <c r="C87" s="450"/>
      <c r="D87" s="425"/>
      <c r="E87" s="425"/>
      <c r="F87" s="425"/>
      <c r="G87" s="425"/>
      <c r="H87" s="496"/>
      <c r="I87" s="498"/>
      <c r="J87" s="425"/>
      <c r="K87" s="445"/>
      <c r="L87" s="496"/>
      <c r="M87" s="450"/>
      <c r="N87" s="425"/>
      <c r="O87" s="425"/>
      <c r="P87" s="425"/>
      <c r="Q87" s="425"/>
      <c r="R87" s="425"/>
      <c r="S87" s="300"/>
      <c r="T87" s="282"/>
    </row>
    <row r="88" spans="1:20" ht="12.75" customHeight="1" hidden="1">
      <c r="A88" s="486"/>
      <c r="B88" s="491">
        <f>'пр.хода'!E34</f>
        <v>29</v>
      </c>
      <c r="C88" s="453" t="str">
        <f>VLOOKUP(B88,'пр.взв.'!B$7:H$149,2,FALSE)</f>
        <v>ОСИПЕНКО Артем Иванович</v>
      </c>
      <c r="D88" s="422" t="str">
        <f>VLOOKUP(B88,'пр.взв.'!B2:H148,3,FALSE)</f>
        <v>27.05.88 змс</v>
      </c>
      <c r="E88" s="422" t="str">
        <f>VLOOKUP(C88,'пр.взв.'!C2:I148,3,FALSE)</f>
        <v>ЦФО</v>
      </c>
      <c r="F88" s="429" t="str">
        <f>VLOOKUP(B88,'пр.взв.'!B$7:H$134,5,FALSE)</f>
        <v>Брянская Брянск ВС</v>
      </c>
      <c r="G88" s="422"/>
      <c r="H88" s="491"/>
      <c r="I88" s="493"/>
      <c r="J88" s="422"/>
      <c r="K88" s="445"/>
      <c r="L88" s="491">
        <f>'пр.хода'!AA34</f>
        <v>30</v>
      </c>
      <c r="M88" s="453" t="str">
        <f>VLOOKUP(L88,'пр.взв.'!B$7:H$136,2,FALSE)</f>
        <v>ТАЧКОВ Иван Дмитриевич</v>
      </c>
      <c r="N88" s="422" t="str">
        <f>VLOOKUP(L88,'пр.взв.'!B2:H148,3,FALSE)</f>
        <v>25.03.97 мс</v>
      </c>
      <c r="O88" s="422" t="str">
        <f>VLOOKUP(M88,'пр.взв.'!C2:I148,3,FALSE)</f>
        <v>УФО</v>
      </c>
      <c r="P88" s="422" t="str">
        <f>VLOOKUP(L88,'пр.взв.'!B21:H148,5,FALSE)</f>
        <v>Курганская, Курган</v>
      </c>
      <c r="Q88" s="426"/>
      <c r="R88" s="426"/>
      <c r="S88" s="273"/>
      <c r="T88" s="273"/>
    </row>
    <row r="89" spans="1:20" ht="12.75" customHeight="1" hidden="1" thickBot="1">
      <c r="A89" s="487"/>
      <c r="B89" s="492"/>
      <c r="C89" s="454"/>
      <c r="D89" s="423"/>
      <c r="E89" s="423"/>
      <c r="F89" s="425"/>
      <c r="G89" s="423"/>
      <c r="H89" s="492"/>
      <c r="I89" s="494"/>
      <c r="J89" s="423"/>
      <c r="K89" s="446"/>
      <c r="L89" s="492"/>
      <c r="M89" s="454"/>
      <c r="N89" s="423"/>
      <c r="O89" s="423"/>
      <c r="P89" s="423"/>
      <c r="Q89" s="427"/>
      <c r="R89" s="427"/>
      <c r="S89" s="437"/>
      <c r="T89" s="437"/>
    </row>
    <row r="90" spans="1:20" ht="12.75" customHeight="1" hidden="1">
      <c r="A90" s="486">
        <v>5</v>
      </c>
      <c r="B90" s="495">
        <f>'пр.хода'!E39</f>
        <v>3</v>
      </c>
      <c r="C90" s="449" t="str">
        <f>VLOOKUP(B90,'пр.взв.'!B$7:H$147,2,FALSE)</f>
        <v>МГОЕВ Джамал Алиевич</v>
      </c>
      <c r="D90" s="429" t="str">
        <f>VLOOKUP(B90,'пр.взв.'!B2:H150,3,FALSE)</f>
        <v>23.07.95, КМС</v>
      </c>
      <c r="E90" s="429" t="str">
        <f>VLOOKUP(C90,'пр.взв.'!C2:I150,3,FALSE)</f>
        <v>ЮФО</v>
      </c>
      <c r="F90" s="429" t="str">
        <f>VLOOKUP(B90,'пр.взв.'!B$7:H$134,5,FALSE)</f>
        <v>Краснодарский, Краснодар Д</v>
      </c>
      <c r="G90" s="429"/>
      <c r="H90" s="495"/>
      <c r="I90" s="497"/>
      <c r="J90" s="429"/>
      <c r="K90" s="444">
        <v>13</v>
      </c>
      <c r="L90" s="495">
        <f>'пр.хода'!AA39</f>
        <v>4</v>
      </c>
      <c r="M90" s="449" t="str">
        <f>VLOOKUP(L90,'пр.взв.'!B$7:H$134,2,FALSE)</f>
        <v>ШИРЯЕВ Максим Сергеевич</v>
      </c>
      <c r="N90" s="429" t="str">
        <f>VLOOKUP(L90,'пр.взв.'!B2:H150,3,FALSE)</f>
        <v>18.03.88, МСМК</v>
      </c>
      <c r="O90" s="429" t="str">
        <f>VLOOKUP(M90,'пр.взв.'!C2:I150,3,FALSE)</f>
        <v>МОС</v>
      </c>
      <c r="P90" s="429" t="str">
        <f>VLOOKUP(L90,'пр.взв.'!B2:H150,5,FALSE)</f>
        <v>Москва, ВС</v>
      </c>
      <c r="Q90" s="459"/>
      <c r="R90" s="460"/>
      <c r="S90" s="322"/>
      <c r="T90" s="274"/>
    </row>
    <row r="91" spans="1:20" ht="12.75" customHeight="1" hidden="1">
      <c r="A91" s="486"/>
      <c r="B91" s="496"/>
      <c r="C91" s="450"/>
      <c r="D91" s="425"/>
      <c r="E91" s="425"/>
      <c r="F91" s="425"/>
      <c r="G91" s="425"/>
      <c r="H91" s="496"/>
      <c r="I91" s="498"/>
      <c r="J91" s="425"/>
      <c r="K91" s="445"/>
      <c r="L91" s="496"/>
      <c r="M91" s="450"/>
      <c r="N91" s="425"/>
      <c r="O91" s="425"/>
      <c r="P91" s="425"/>
      <c r="Q91" s="425"/>
      <c r="R91" s="425"/>
      <c r="S91" s="300"/>
      <c r="T91" s="282"/>
    </row>
    <row r="92" spans="1:20" ht="12.75" customHeight="1" hidden="1">
      <c r="A92" s="486"/>
      <c r="B92" s="491">
        <f>'пр.хода'!E43</f>
        <v>19</v>
      </c>
      <c r="C92" s="453" t="str">
        <f>VLOOKUP(B92,'пр.взв.'!B$7:H$149,2,FALSE)</f>
        <v>КУЛИКОВ Александр Сергеевич</v>
      </c>
      <c r="D92" s="422" t="str">
        <f>VLOOKUP(B92,'пр.взв.'!B2:H152,3,FALSE)</f>
        <v>11.11.790, МС</v>
      </c>
      <c r="E92" s="422" t="str">
        <f>VLOOKUP(C92,'пр.взв.'!C2:I152,3,FALSE)</f>
        <v>УФО</v>
      </c>
      <c r="F92" s="429" t="str">
        <f>VLOOKUP(B92,'пр.взв.'!B$7:H$134,5,FALSE)</f>
        <v>Свердловская, Екатеринбург, ПР</v>
      </c>
      <c r="G92" s="422"/>
      <c r="H92" s="491"/>
      <c r="I92" s="493"/>
      <c r="J92" s="422"/>
      <c r="K92" s="445"/>
      <c r="L92" s="491">
        <f>'пр.хода'!AA43</f>
        <v>20</v>
      </c>
      <c r="M92" s="453" t="str">
        <f>VLOOKUP(L92,'пр.взв.'!B$7:H$136,2,FALSE)</f>
        <v>АЛДУШИН Александр Игоревич</v>
      </c>
      <c r="N92" s="422" t="str">
        <f>VLOOKUP(L92,'пр.взв.'!B2:H152,3,FALSE)</f>
        <v>04.10.93, МС</v>
      </c>
      <c r="O92" s="422" t="str">
        <f>VLOOKUP(M92,'пр.взв.'!C2:I152,3,FALSE)</f>
        <v>УФО</v>
      </c>
      <c r="P92" s="422" t="str">
        <f>VLOOKUP(L92,'пр.взв.'!B25:H152,5,FALSE)</f>
        <v>Свердловская, Н.Тагил</v>
      </c>
      <c r="Q92" s="426"/>
      <c r="R92" s="426"/>
      <c r="S92" s="273"/>
      <c r="T92" s="273"/>
    </row>
    <row r="93" spans="1:20" ht="12.75" customHeight="1" hidden="1" thickBot="1">
      <c r="A93" s="487"/>
      <c r="B93" s="492"/>
      <c r="C93" s="454"/>
      <c r="D93" s="423"/>
      <c r="E93" s="423"/>
      <c r="F93" s="425"/>
      <c r="G93" s="423"/>
      <c r="H93" s="492"/>
      <c r="I93" s="494"/>
      <c r="J93" s="423"/>
      <c r="K93" s="446"/>
      <c r="L93" s="492"/>
      <c r="M93" s="454"/>
      <c r="N93" s="423"/>
      <c r="O93" s="423"/>
      <c r="P93" s="423"/>
      <c r="Q93" s="427"/>
      <c r="R93" s="427"/>
      <c r="S93" s="437"/>
      <c r="T93" s="437"/>
    </row>
    <row r="94" spans="1:20" ht="12.75" customHeight="1" hidden="1">
      <c r="A94" s="485">
        <v>6</v>
      </c>
      <c r="B94" s="495">
        <f>'пр.хода'!E47</f>
        <v>11</v>
      </c>
      <c r="C94" s="449" t="str">
        <f>VLOOKUP(B94,'пр.взв.'!B$7:H$147,2,FALSE)</f>
        <v>ЮСУФОВ Гаджи Чингизович</v>
      </c>
      <c r="D94" s="424" t="str">
        <f>VLOOKUP(B94,'пр.взв.'!B2:H154,3,FALSE)</f>
        <v>08.05.90, МС</v>
      </c>
      <c r="E94" s="424" t="str">
        <f>VLOOKUP(C94,'пр.взв.'!C2:I154,3,FALSE)</f>
        <v>ПФО</v>
      </c>
      <c r="F94" s="429" t="str">
        <f>VLOOKUP(B94,'пр.взв.'!B$7:H$134,5,FALSE)</f>
        <v>Пермский, Пермь, Д</v>
      </c>
      <c r="G94" s="424"/>
      <c r="H94" s="495"/>
      <c r="I94" s="504"/>
      <c r="J94" s="424"/>
      <c r="K94" s="444">
        <v>14</v>
      </c>
      <c r="L94" s="495">
        <f>'пр.хода'!AA47</f>
        <v>12</v>
      </c>
      <c r="M94" s="449" t="str">
        <f>VLOOKUP(L94,'пр.взв.'!B$7:H$134,2,FALSE)</f>
        <v>АБУЛАДЗЕ Паата Венорович</v>
      </c>
      <c r="N94" s="424" t="str">
        <f>VLOOKUP(L94,'пр.взв.'!B2:H154,3,FALSE)</f>
        <v>15.06.91, КМС</v>
      </c>
      <c r="O94" s="424" t="str">
        <f>VLOOKUP(M94,'пр.взв.'!C2:I154,3,FALSE)</f>
        <v>ЮФО</v>
      </c>
      <c r="P94" s="429" t="str">
        <f>VLOOKUP(L94,'пр.взв.'!B27:H154,5,FALSE)</f>
        <v>Краснодарский, Краснодар Д</v>
      </c>
      <c r="Q94" s="440"/>
      <c r="R94" s="428"/>
      <c r="S94" s="441"/>
      <c r="T94" s="424"/>
    </row>
    <row r="95" spans="1:20" ht="12.75" customHeight="1" hidden="1">
      <c r="A95" s="486"/>
      <c r="B95" s="496"/>
      <c r="C95" s="450"/>
      <c r="D95" s="425"/>
      <c r="E95" s="425"/>
      <c r="F95" s="425"/>
      <c r="G95" s="425"/>
      <c r="H95" s="496"/>
      <c r="I95" s="498"/>
      <c r="J95" s="425"/>
      <c r="K95" s="445"/>
      <c r="L95" s="496"/>
      <c r="M95" s="450"/>
      <c r="N95" s="425"/>
      <c r="O95" s="425"/>
      <c r="P95" s="425"/>
      <c r="Q95" s="425"/>
      <c r="R95" s="425"/>
      <c r="S95" s="300"/>
      <c r="T95" s="282"/>
    </row>
    <row r="96" spans="1:20" ht="13.5" customHeight="1" hidden="1">
      <c r="A96" s="486"/>
      <c r="B96" s="491">
        <f>'пр.хода'!E51</f>
        <v>27</v>
      </c>
      <c r="C96" s="453" t="str">
        <f>VLOOKUP(B96,'пр.взв.'!B$7:H$149,2,FALSE)</f>
        <v>ГИБАДУЛЛИН Игорь Витальевич</v>
      </c>
      <c r="D96" s="422" t="str">
        <f>VLOOKUP(B96,'пр.взв.'!B2:H156,3,FALSE)</f>
        <v>27.03.84, МСМК</v>
      </c>
      <c r="E96" s="422" t="str">
        <f>VLOOKUP(C96,'пр.взв.'!C2:I156,3,FALSE)</f>
        <v>УФО</v>
      </c>
      <c r="F96" s="429" t="str">
        <f>VLOOKUP(B96,'пр.взв.'!B$7:H$134,5,FALSE)</f>
        <v>Свердловская, Екатеринбург, ПР</v>
      </c>
      <c r="G96" s="422"/>
      <c r="H96" s="491"/>
      <c r="I96" s="493"/>
      <c r="J96" s="422"/>
      <c r="K96" s="445"/>
      <c r="L96" s="491">
        <f>'пр.хода'!AA51</f>
        <v>28</v>
      </c>
      <c r="M96" s="453" t="str">
        <f>VLOOKUP(L96,'пр.взв.'!B$7:H$136,2,FALSE)</f>
        <v>БОБИКОВ Роман Николаевич</v>
      </c>
      <c r="N96" s="422" t="str">
        <f>VLOOKUP(L96,'пр.взв.'!B2:H156,3,FALSE)</f>
        <v>08.12.89, МС</v>
      </c>
      <c r="O96" s="422" t="str">
        <f>VLOOKUP(M96,'пр.взв.'!C2:I156,3,FALSE)</f>
        <v>ЦФО</v>
      </c>
      <c r="P96" s="422" t="str">
        <f>VLOOKUP(L96,'пр.взв.'!B29:H156,5,FALSE)</f>
        <v>Тверская, Тверь, Д</v>
      </c>
      <c r="Q96" s="426"/>
      <c r="R96" s="426"/>
      <c r="S96" s="273"/>
      <c r="T96" s="273"/>
    </row>
    <row r="97" spans="1:20" ht="12.75" customHeight="1" hidden="1" thickBot="1">
      <c r="A97" s="500"/>
      <c r="B97" s="492"/>
      <c r="C97" s="454"/>
      <c r="D97" s="423"/>
      <c r="E97" s="423"/>
      <c r="F97" s="425"/>
      <c r="G97" s="423"/>
      <c r="H97" s="492"/>
      <c r="I97" s="494"/>
      <c r="J97" s="423"/>
      <c r="K97" s="446"/>
      <c r="L97" s="492"/>
      <c r="M97" s="454"/>
      <c r="N97" s="423"/>
      <c r="O97" s="423"/>
      <c r="P97" s="423"/>
      <c r="Q97" s="427"/>
      <c r="R97" s="427"/>
      <c r="S97" s="437"/>
      <c r="T97" s="437"/>
    </row>
    <row r="98" spans="1:20" ht="12.75" customHeight="1" hidden="1">
      <c r="A98" s="485">
        <v>7</v>
      </c>
      <c r="B98" s="495">
        <f>'пр.хода'!E55</f>
        <v>7</v>
      </c>
      <c r="C98" s="449" t="str">
        <f>VLOOKUP(B98,'пр.взв.'!B$7:H$147,2,FALSE)</f>
        <v>БАЙРАМУКОВ Таулан Хасанович</v>
      </c>
      <c r="D98" s="429" t="str">
        <f>VLOOKUP(B98,'пр.взв.'!B4:H158,3,FALSE)</f>
        <v>09.01.1991, МС</v>
      </c>
      <c r="E98" s="429" t="str">
        <f>VLOOKUP(C98,'пр.взв.'!C4:I158,3,FALSE)</f>
        <v>СКФО</v>
      </c>
      <c r="F98" s="429" t="str">
        <f>VLOOKUP(B98,'пр.взв.'!B$7:H$134,5,FALSE)</f>
        <v>КЧР, ВС</v>
      </c>
      <c r="G98" s="429"/>
      <c r="H98" s="495"/>
      <c r="I98" s="497"/>
      <c r="J98" s="429"/>
      <c r="K98" s="444">
        <v>15</v>
      </c>
      <c r="L98" s="495">
        <f>'пр.хода'!AA55</f>
        <v>8</v>
      </c>
      <c r="M98" s="449" t="str">
        <f>VLOOKUP(L98,'пр.взв.'!B$7:H$134,2,FALSE)</f>
        <v>ТАРАСЕНКО Владимир Владимирович</v>
      </c>
      <c r="N98" s="429" t="str">
        <f>VLOOKUP(L98,'пр.взв.'!B4:H158,3,FALSE)</f>
        <v>25.01.91, МС</v>
      </c>
      <c r="O98" s="429" t="str">
        <f>VLOOKUP(M98,'пр.взв.'!C4:I158,3,FALSE)</f>
        <v>СКФО</v>
      </c>
      <c r="P98" s="429" t="e">
        <f>VLOOKUP(L98,'пр.взв.'!B31:H158,5,FALSE)</f>
        <v>#N/A</v>
      </c>
      <c r="Q98" s="459"/>
      <c r="R98" s="460"/>
      <c r="S98" s="322"/>
      <c r="T98" s="274"/>
    </row>
    <row r="99" spans="1:20" ht="12.75" customHeight="1" hidden="1">
      <c r="A99" s="486"/>
      <c r="B99" s="496"/>
      <c r="C99" s="450"/>
      <c r="D99" s="425"/>
      <c r="E99" s="425"/>
      <c r="F99" s="425"/>
      <c r="G99" s="425"/>
      <c r="H99" s="496"/>
      <c r="I99" s="498"/>
      <c r="J99" s="425"/>
      <c r="K99" s="445"/>
      <c r="L99" s="496"/>
      <c r="M99" s="450"/>
      <c r="N99" s="425"/>
      <c r="O99" s="425"/>
      <c r="P99" s="425"/>
      <c r="Q99" s="425"/>
      <c r="R99" s="425"/>
      <c r="S99" s="300"/>
      <c r="T99" s="282"/>
    </row>
    <row r="100" spans="1:20" ht="12.75" customHeight="1" hidden="1">
      <c r="A100" s="486"/>
      <c r="B100" s="491">
        <f>'пр.хода'!E59</f>
        <v>23</v>
      </c>
      <c r="C100" s="453" t="str">
        <f>VLOOKUP(B100,'пр.взв.'!B$7:H$149,2,FALSE)</f>
        <v>МИХАЛЬЧЕНКО Роман Александрович</v>
      </c>
      <c r="D100" s="422" t="str">
        <f>VLOOKUP(B100,'пр.взв.'!B4:H160,3,FALSE)</f>
        <v>27.06.87 мсмк</v>
      </c>
      <c r="E100" s="422" t="str">
        <f>VLOOKUP(C100,'пр.взв.'!C4:I160,3,FALSE)</f>
        <v>УФО</v>
      </c>
      <c r="F100" s="429" t="str">
        <f>VLOOKUP(B100,'пр.взв.'!B$7:H$134,5,FALSE)</f>
        <v>Курганская Курган МО</v>
      </c>
      <c r="G100" s="422"/>
      <c r="H100" s="491"/>
      <c r="I100" s="493"/>
      <c r="J100" s="422"/>
      <c r="K100" s="445"/>
      <c r="L100" s="491">
        <f>'пр.хода'!AA59</f>
        <v>24</v>
      </c>
      <c r="M100" s="453" t="str">
        <f>VLOOKUP(L100,'пр.взв.'!B$7:H$136,2,FALSE)</f>
        <v>СТАРКОВ Михаил Александрович</v>
      </c>
      <c r="N100" s="422" t="str">
        <f>VLOOKUP(L100,'пр.взв.'!B4:H160,3,FALSE)</f>
        <v>13.07.77, МСМК</v>
      </c>
      <c r="O100" s="422" t="str">
        <f>VLOOKUP(M100,'пр.взв.'!C4:I160,3,FALSE)</f>
        <v>УФО</v>
      </c>
      <c r="P100" s="422" t="str">
        <f>VLOOKUP(L100,'пр.взв.'!B33:H160,5,FALSE)</f>
        <v>Свердловская, Екатеринбург, Д</v>
      </c>
      <c r="Q100" s="426"/>
      <c r="R100" s="426"/>
      <c r="S100" s="273"/>
      <c r="T100" s="273"/>
    </row>
    <row r="101" spans="1:20" ht="13.5" hidden="1" thickBot="1">
      <c r="A101" s="487"/>
      <c r="B101" s="492"/>
      <c r="C101" s="454"/>
      <c r="D101" s="423"/>
      <c r="E101" s="423"/>
      <c r="F101" s="425"/>
      <c r="G101" s="423"/>
      <c r="H101" s="492"/>
      <c r="I101" s="494"/>
      <c r="J101" s="423"/>
      <c r="K101" s="446"/>
      <c r="L101" s="492"/>
      <c r="M101" s="454"/>
      <c r="N101" s="423"/>
      <c r="O101" s="423"/>
      <c r="P101" s="423"/>
      <c r="Q101" s="427"/>
      <c r="R101" s="427"/>
      <c r="S101" s="437"/>
      <c r="T101" s="437"/>
    </row>
    <row r="102" spans="1:20" ht="12.75" customHeight="1" hidden="1">
      <c r="A102" s="485">
        <v>8</v>
      </c>
      <c r="B102" s="495">
        <f>'пр.хода'!E63</f>
        <v>15</v>
      </c>
      <c r="C102" s="449" t="str">
        <f>VLOOKUP(B102,'пр.взв.'!B$7:H$147,2,FALSE)</f>
        <v>ХОРПЯКОВ Олег Вячеславович</v>
      </c>
      <c r="D102" s="429" t="str">
        <f>VLOOKUP(B102,'пр.взв.'!B4:H162,3,FALSE)</f>
        <v>28.02.77, МСМК</v>
      </c>
      <c r="E102" s="429" t="str">
        <f>VLOOKUP(C102,'пр.взв.'!C4:I162,3,FALSE)</f>
        <v>МОС</v>
      </c>
      <c r="F102" s="429" t="str">
        <f>VLOOKUP(B102,'пр.взв.'!B$7:H$134,5,FALSE)</f>
        <v>Москва, Д</v>
      </c>
      <c r="G102" s="429"/>
      <c r="H102" s="495"/>
      <c r="I102" s="497"/>
      <c r="J102" s="429"/>
      <c r="K102" s="444">
        <v>16</v>
      </c>
      <c r="L102" s="495">
        <f>'пр.хода'!AA63</f>
        <v>16</v>
      </c>
      <c r="M102" s="449" t="str">
        <f>VLOOKUP(L102,'пр.взв.'!B$7:H$134,2,FALSE)</f>
        <v>ГОНЧАРУК Роман Михайлович</v>
      </c>
      <c r="N102" s="429" t="str">
        <f>VLOOKUP(L102,'пр.взв.'!B4:H162,3,FALSE)</f>
        <v>24.06.93, МС</v>
      </c>
      <c r="O102" s="429" t="str">
        <f>VLOOKUP(M102,'пр.взв.'!C4:I162,3,FALSE)</f>
        <v>МОС</v>
      </c>
      <c r="P102" s="429" t="str">
        <f>VLOOKUP(L102,'пр.взв.'!B35:H162,5,FALSE)</f>
        <v>Москва</v>
      </c>
      <c r="Q102" s="425"/>
      <c r="R102" s="499"/>
      <c r="S102" s="300"/>
      <c r="T102" s="422"/>
    </row>
    <row r="103" spans="1:20" ht="12.75" customHeight="1" hidden="1">
      <c r="A103" s="486"/>
      <c r="B103" s="496"/>
      <c r="C103" s="450"/>
      <c r="D103" s="425"/>
      <c r="E103" s="425"/>
      <c r="F103" s="425"/>
      <c r="G103" s="425"/>
      <c r="H103" s="496"/>
      <c r="I103" s="498"/>
      <c r="J103" s="425"/>
      <c r="K103" s="445"/>
      <c r="L103" s="496"/>
      <c r="M103" s="450"/>
      <c r="N103" s="425"/>
      <c r="O103" s="425"/>
      <c r="P103" s="425"/>
      <c r="Q103" s="425"/>
      <c r="R103" s="425"/>
      <c r="S103" s="300"/>
      <c r="T103" s="282"/>
    </row>
    <row r="104" spans="1:20" ht="12.75" customHeight="1" hidden="1">
      <c r="A104" s="486"/>
      <c r="B104" s="491">
        <f>'пр.хода'!E67</f>
        <v>31</v>
      </c>
      <c r="C104" s="453" t="str">
        <f>VLOOKUP(B104,'пр.взв.'!B$7:H$149,2,FALSE)</f>
        <v>САЛАМАХА Николай Анатольевич</v>
      </c>
      <c r="D104" s="422" t="str">
        <f>VLOOKUP(B104,'пр.взв.'!B4:H164,3,FALSE)</f>
        <v>02.01.1991, кмс</v>
      </c>
      <c r="E104" s="422" t="str">
        <f>VLOOKUP(C104,'пр.взв.'!C4:I164,3,FALSE)</f>
        <v>СЕВ</v>
      </c>
      <c r="F104" s="429" t="str">
        <f>VLOOKUP(B104,'пр.взв.'!B$7:H$134,5,FALSE)</f>
        <v>Севастополь</v>
      </c>
      <c r="G104" s="422"/>
      <c r="H104" s="491"/>
      <c r="I104" s="493"/>
      <c r="J104" s="422"/>
      <c r="K104" s="445"/>
      <c r="L104" s="491">
        <f>'пр.хода'!AA67</f>
        <v>32</v>
      </c>
      <c r="M104" s="453" t="str">
        <f>VLOOKUP(L104,'пр.взв.'!B$7:H$136,2,FALSE)</f>
        <v>ТУНАКОВ Александр Сергеевич</v>
      </c>
      <c r="N104" s="422" t="str">
        <f>VLOOKUP(L104,'пр.взв.'!B4:H164,3,FALSE)</f>
        <v>25.08.94, МС</v>
      </c>
      <c r="O104" s="422" t="str">
        <f>VLOOKUP(M104,'пр.взв.'!C4:I164,3,FALSE)</f>
        <v>ПФО</v>
      </c>
      <c r="P104" s="429" t="str">
        <f>VLOOKUP(L104,'пр.взв.'!B37:H164,5,FALSE)</f>
        <v>Нижегородская, Н.Новгород, ПР</v>
      </c>
      <c r="Q104" s="426"/>
      <c r="R104" s="426"/>
      <c r="S104" s="273"/>
      <c r="T104" s="273"/>
    </row>
    <row r="105" spans="1:20" ht="12.75" customHeight="1" hidden="1" thickBot="1">
      <c r="A105" s="487"/>
      <c r="B105" s="492"/>
      <c r="C105" s="454"/>
      <c r="D105" s="423"/>
      <c r="E105" s="423"/>
      <c r="F105" s="425"/>
      <c r="G105" s="423"/>
      <c r="H105" s="492"/>
      <c r="I105" s="494"/>
      <c r="J105" s="423"/>
      <c r="K105" s="446"/>
      <c r="L105" s="492"/>
      <c r="M105" s="454"/>
      <c r="N105" s="423"/>
      <c r="O105" s="423"/>
      <c r="P105" s="423"/>
      <c r="Q105" s="427"/>
      <c r="R105" s="427"/>
      <c r="S105" s="437"/>
      <c r="T105" s="437"/>
    </row>
    <row r="107" spans="2:20" ht="16.5" hidden="1" thickBot="1">
      <c r="B107" s="71" t="s">
        <v>39</v>
      </c>
      <c r="C107" s="72" t="s">
        <v>40</v>
      </c>
      <c r="D107" s="73" t="s">
        <v>48</v>
      </c>
      <c r="E107" s="73"/>
      <c r="F107" s="72"/>
      <c r="G107" s="71" t="str">
        <f>B2</f>
        <v>в.к. св 100 кг.</v>
      </c>
      <c r="H107" s="72"/>
      <c r="I107" s="72"/>
      <c r="J107" s="72"/>
      <c r="K107" s="72"/>
      <c r="L107" s="71" t="s">
        <v>1</v>
      </c>
      <c r="M107" s="72" t="s">
        <v>40</v>
      </c>
      <c r="N107" s="73" t="s">
        <v>48</v>
      </c>
      <c r="O107" s="73"/>
      <c r="P107" s="72"/>
      <c r="Q107" s="71" t="str">
        <f>G107</f>
        <v>в.к. св 100 кг.</v>
      </c>
      <c r="R107" s="72"/>
      <c r="S107" s="72"/>
      <c r="T107" s="72"/>
    </row>
    <row r="108" spans="1:20" ht="12.75" customHeight="1" hidden="1">
      <c r="A108" s="471" t="s">
        <v>42</v>
      </c>
      <c r="B108" s="473" t="s">
        <v>3</v>
      </c>
      <c r="C108" s="464" t="s">
        <v>4</v>
      </c>
      <c r="D108" s="434" t="s">
        <v>13</v>
      </c>
      <c r="E108" s="430" t="s">
        <v>14</v>
      </c>
      <c r="F108" s="431"/>
      <c r="G108" s="464" t="s">
        <v>15</v>
      </c>
      <c r="H108" s="466" t="s">
        <v>43</v>
      </c>
      <c r="I108" s="468" t="s">
        <v>44</v>
      </c>
      <c r="J108" s="469" t="s">
        <v>17</v>
      </c>
      <c r="K108" s="471" t="s">
        <v>42</v>
      </c>
      <c r="L108" s="473" t="s">
        <v>3</v>
      </c>
      <c r="M108" s="464" t="s">
        <v>4</v>
      </c>
      <c r="N108" s="434" t="s">
        <v>13</v>
      </c>
      <c r="O108" s="430" t="s">
        <v>14</v>
      </c>
      <c r="P108" s="431"/>
      <c r="Q108" s="464" t="s">
        <v>15</v>
      </c>
      <c r="R108" s="466" t="s">
        <v>43</v>
      </c>
      <c r="S108" s="468" t="s">
        <v>44</v>
      </c>
      <c r="T108" s="469" t="s">
        <v>17</v>
      </c>
    </row>
    <row r="109" spans="1:20" ht="13.5" customHeight="1" hidden="1" thickBot="1">
      <c r="A109" s="472"/>
      <c r="B109" s="488" t="s">
        <v>45</v>
      </c>
      <c r="C109" s="465"/>
      <c r="D109" s="435"/>
      <c r="E109" s="432"/>
      <c r="F109" s="433"/>
      <c r="G109" s="465"/>
      <c r="H109" s="467"/>
      <c r="I109" s="437"/>
      <c r="J109" s="470" t="s">
        <v>46</v>
      </c>
      <c r="K109" s="472"/>
      <c r="L109" s="488" t="s">
        <v>45</v>
      </c>
      <c r="M109" s="465"/>
      <c r="N109" s="435"/>
      <c r="O109" s="432"/>
      <c r="P109" s="433"/>
      <c r="Q109" s="465"/>
      <c r="R109" s="467"/>
      <c r="S109" s="437"/>
      <c r="T109" s="470" t="s">
        <v>46</v>
      </c>
    </row>
    <row r="110" spans="1:20" ht="12.75" hidden="1">
      <c r="A110" s="485">
        <v>1</v>
      </c>
      <c r="B110" s="484">
        <f>'пр.хода'!G8</f>
        <v>17</v>
      </c>
      <c r="C110" s="449" t="str">
        <f>VLOOKUP(B110,'пр.взв.'!B$2:H$183,2,FALSE)</f>
        <v>САРИБЕКЯН Павел Андреевич</v>
      </c>
      <c r="D110" s="429" t="str">
        <f>VLOOKUP(B110,'пр.взв.'!B2:H170,3,FALSE)</f>
        <v>13.07.92, МС</v>
      </c>
      <c r="E110" s="429" t="str">
        <f>VLOOKUP(C110,'пр.взв.'!C2:I170,3,FALSE)</f>
        <v>ЮФО</v>
      </c>
      <c r="F110" s="429" t="str">
        <f>VLOOKUP(B110,'пр.взв.'!B2:H170,5,FALSE)</f>
        <v>Краснодарский край Курганинск, Д</v>
      </c>
      <c r="G110" s="459"/>
      <c r="H110" s="460"/>
      <c r="I110" s="322"/>
      <c r="J110" s="274"/>
      <c r="K110" s="444">
        <v>5</v>
      </c>
      <c r="L110" s="484">
        <f>'пр.хода'!Y8</f>
        <v>18</v>
      </c>
      <c r="M110" s="449" t="str">
        <f>VLOOKUP(L110,'пр.взв.'!B$2:H$170,2,FALSE)</f>
        <v>ХАПЦЕВ Артур Русланович</v>
      </c>
      <c r="N110" s="429" t="str">
        <f>VLOOKUP(L110,'пр.взв.'!B2:H170,3,FALSE)</f>
        <v>15.01.88, МС</v>
      </c>
      <c r="O110" s="429" t="str">
        <f>VLOOKUP(M110,'пр.взв.'!C2:I170,3,FALSE)</f>
        <v>УФО</v>
      </c>
      <c r="P110" s="429" t="str">
        <f>VLOOKUP(L110,'пр.взв.'!B2:H170,5,FALSE)</f>
        <v>Тюменская, Тюмень, Д</v>
      </c>
      <c r="Q110" s="459"/>
      <c r="R110" s="460"/>
      <c r="S110" s="322"/>
      <c r="T110" s="274"/>
    </row>
    <row r="111" spans="1:20" ht="12.75" hidden="1">
      <c r="A111" s="486"/>
      <c r="B111" s="482"/>
      <c r="C111" s="450"/>
      <c r="D111" s="425"/>
      <c r="E111" s="425"/>
      <c r="F111" s="425"/>
      <c r="G111" s="425"/>
      <c r="H111" s="425"/>
      <c r="I111" s="300"/>
      <c r="J111" s="282"/>
      <c r="K111" s="445"/>
      <c r="L111" s="482"/>
      <c r="M111" s="450"/>
      <c r="N111" s="425"/>
      <c r="O111" s="425"/>
      <c r="P111" s="425"/>
      <c r="Q111" s="425"/>
      <c r="R111" s="425"/>
      <c r="S111" s="300"/>
      <c r="T111" s="282"/>
    </row>
    <row r="112" spans="1:20" ht="12.75" hidden="1">
      <c r="A112" s="486"/>
      <c r="B112" s="482">
        <f>'пр.хода'!G16</f>
        <v>9</v>
      </c>
      <c r="C112" s="453" t="str">
        <f>VLOOKUP(B112,'пр.взв.'!B$7:H$685,2,FALSE)</f>
        <v>ДЬЯКОНОВ Иван Викторович</v>
      </c>
      <c r="D112" s="422" t="str">
        <f>VLOOKUP(B112,'пр.взв.'!B1:H172,3,FALSE)</f>
        <v>27.08.86 мс</v>
      </c>
      <c r="E112" s="422" t="str">
        <f>VLOOKUP(C112,'пр.взв.'!C1:I172,3,FALSE)</f>
        <v>СЗФО</v>
      </c>
      <c r="F112" s="422" t="str">
        <f>VLOOKUP(B112,'пр.взв.'!B5:H172,5,FALSE)</f>
        <v> Коми Сыктывкар МО</v>
      </c>
      <c r="G112" s="426"/>
      <c r="H112" s="426"/>
      <c r="I112" s="273"/>
      <c r="J112" s="273"/>
      <c r="K112" s="445"/>
      <c r="L112" s="482">
        <f>'пр.хода'!Y16</f>
        <v>26</v>
      </c>
      <c r="M112" s="453" t="str">
        <f>VLOOKUP(L112,'пр.взв.'!B$4:H$172,2,FALSE)</f>
        <v>АРСЛАНОВ Рустем Разитович</v>
      </c>
      <c r="N112" s="422" t="str">
        <f>VLOOKUP(L112,'пр.взв.'!B4:H172,3,FALSE)</f>
        <v>31.07.80 мс</v>
      </c>
      <c r="O112" s="422" t="str">
        <f>VLOOKUP(M112,'пр.взв.'!C4:I172,3,FALSE)</f>
        <v>ПФО</v>
      </c>
      <c r="P112" s="422" t="str">
        <f>VLOOKUP(L112,'пр.взв.'!B5:H172,5,FALSE)</f>
        <v>Башкортостан Уфа Д</v>
      </c>
      <c r="Q112" s="426"/>
      <c r="R112" s="426"/>
      <c r="S112" s="273"/>
      <c r="T112" s="273"/>
    </row>
    <row r="113" spans="1:20" ht="13.5" hidden="1" thickBot="1">
      <c r="A113" s="487"/>
      <c r="B113" s="483"/>
      <c r="C113" s="454"/>
      <c r="D113" s="423"/>
      <c r="E113" s="423"/>
      <c r="F113" s="423"/>
      <c r="G113" s="427"/>
      <c r="H113" s="427"/>
      <c r="I113" s="437"/>
      <c r="J113" s="437"/>
      <c r="K113" s="446"/>
      <c r="L113" s="483"/>
      <c r="M113" s="454"/>
      <c r="N113" s="423"/>
      <c r="O113" s="423"/>
      <c r="P113" s="423"/>
      <c r="Q113" s="427"/>
      <c r="R113" s="427"/>
      <c r="S113" s="437"/>
      <c r="T113" s="437"/>
    </row>
    <row r="114" spans="1:20" ht="12.75" customHeight="1" hidden="1">
      <c r="A114" s="485">
        <v>2</v>
      </c>
      <c r="B114" s="484">
        <f>'пр.хода'!G24</f>
        <v>5</v>
      </c>
      <c r="C114" s="449" t="str">
        <f>VLOOKUP(B114,'пр.взв.'!B$2:H$183,2,FALSE)</f>
        <v>ГЕНИЯТОВ Глеб Эдуардович</v>
      </c>
      <c r="D114" s="429" t="str">
        <f>VLOOKUP(B114,'пр.взв.'!B7:H174,3,FALSE)</f>
        <v>29.04.85, МС</v>
      </c>
      <c r="E114" s="429" t="str">
        <f>VLOOKUP(C114,'пр.взв.'!C7:I174,3,FALSE)</f>
        <v>УФО</v>
      </c>
      <c r="F114" s="429" t="str">
        <f>VLOOKUP(B114,'пр.взв.'!B7:H174,5,FALSE)</f>
        <v>Свердловская, Екатеринбург, ПР</v>
      </c>
      <c r="G114" s="440"/>
      <c r="H114" s="428"/>
      <c r="I114" s="441"/>
      <c r="J114" s="424"/>
      <c r="K114" s="444">
        <v>6</v>
      </c>
      <c r="L114" s="484">
        <f>'пр.хода'!Y24</f>
        <v>6</v>
      </c>
      <c r="M114" s="449" t="str">
        <f>VLOOKUP(L114,'пр.взв.'!B$2:H$170,2,FALSE)</f>
        <v>КУЧУМОВ Александр Николаевич</v>
      </c>
      <c r="N114" s="429" t="str">
        <f>VLOOKUP(L114,'пр.взв.'!B7:H174,3,FALSE)</f>
        <v>06.11.90, мсмк</v>
      </c>
      <c r="O114" s="429" t="str">
        <f>VLOOKUP(M114,'пр.взв.'!C7:I174,3,FALSE)</f>
        <v>МОС</v>
      </c>
      <c r="P114" s="429" t="str">
        <f>VLOOKUP(L114,'пр.взв.'!B7:H174,5,FALSE)</f>
        <v>г. Москва, Д</v>
      </c>
      <c r="Q114" s="440"/>
      <c r="R114" s="428"/>
      <c r="S114" s="441"/>
      <c r="T114" s="424"/>
    </row>
    <row r="115" spans="1:20" ht="12.75" hidden="1">
      <c r="A115" s="486"/>
      <c r="B115" s="482"/>
      <c r="C115" s="450"/>
      <c r="D115" s="425"/>
      <c r="E115" s="425"/>
      <c r="F115" s="425"/>
      <c r="G115" s="425"/>
      <c r="H115" s="425"/>
      <c r="I115" s="300"/>
      <c r="J115" s="282"/>
      <c r="K115" s="445"/>
      <c r="L115" s="482"/>
      <c r="M115" s="450"/>
      <c r="N115" s="425"/>
      <c r="O115" s="425"/>
      <c r="P115" s="425"/>
      <c r="Q115" s="425"/>
      <c r="R115" s="425"/>
      <c r="S115" s="300"/>
      <c r="T115" s="282"/>
    </row>
    <row r="116" spans="1:20" ht="12.75" customHeight="1" hidden="1">
      <c r="A116" s="486"/>
      <c r="B116" s="482">
        <f>'пр.хода'!G32</f>
        <v>29</v>
      </c>
      <c r="C116" s="453" t="str">
        <f>VLOOKUP(B116,'пр.взв.'!B$7:H$685,2,FALSE)</f>
        <v>ОСИПЕНКО Артем Иванович</v>
      </c>
      <c r="D116" s="422" t="str">
        <f>VLOOKUP(B116,'пр.взв.'!B6:H176,3,FALSE)</f>
        <v>27.05.88 змс</v>
      </c>
      <c r="E116" s="422" t="str">
        <f>VLOOKUP(C116,'пр.взв.'!C6:I176,3,FALSE)</f>
        <v>ЦФО</v>
      </c>
      <c r="F116" s="422" t="str">
        <f>VLOOKUP(B116,'пр.взв.'!B9:H176,5,FALSE)</f>
        <v>Брянская Брянск ВС</v>
      </c>
      <c r="G116" s="426"/>
      <c r="H116" s="426"/>
      <c r="I116" s="273"/>
      <c r="J116" s="273"/>
      <c r="K116" s="445"/>
      <c r="L116" s="482">
        <f>'пр.хода'!Y32</f>
        <v>14</v>
      </c>
      <c r="M116" s="453" t="str">
        <f>VLOOKUP(L116,'пр.взв.'!B$4:H$172,2,FALSE)</f>
        <v>КУНДУКОВ Роман Николаевич</v>
      </c>
      <c r="N116" s="422" t="str">
        <f>VLOOKUP(L116,'пр.взв.'!B1:H176,3,FALSE)</f>
        <v>11.11.93, кмс</v>
      </c>
      <c r="O116" s="422" t="str">
        <f>VLOOKUP(M116,'пр.взв.'!C1:I176,3,FALSE)</f>
        <v>СЗФО</v>
      </c>
      <c r="P116" s="422" t="str">
        <f>VLOOKUP(L116,'пр.взв.'!B9:H176,5,FALSE)</f>
        <v>Ленинградская об., Выборг МО</v>
      </c>
      <c r="Q116" s="426"/>
      <c r="R116" s="426"/>
      <c r="S116" s="273"/>
      <c r="T116" s="273"/>
    </row>
    <row r="117" spans="1:20" ht="13.5" hidden="1" thickBot="1">
      <c r="A117" s="487"/>
      <c r="B117" s="483"/>
      <c r="C117" s="454"/>
      <c r="D117" s="423"/>
      <c r="E117" s="423"/>
      <c r="F117" s="423"/>
      <c r="G117" s="427"/>
      <c r="H117" s="427"/>
      <c r="I117" s="437"/>
      <c r="J117" s="437"/>
      <c r="K117" s="446"/>
      <c r="L117" s="483"/>
      <c r="M117" s="454"/>
      <c r="N117" s="423"/>
      <c r="O117" s="423"/>
      <c r="P117" s="423"/>
      <c r="Q117" s="427"/>
      <c r="R117" s="427"/>
      <c r="S117" s="437"/>
      <c r="T117" s="437"/>
    </row>
    <row r="118" spans="1:20" ht="12.75" customHeight="1" hidden="1">
      <c r="A118" s="485">
        <v>3</v>
      </c>
      <c r="B118" s="484">
        <f>'пр.хода'!G41</f>
        <v>3</v>
      </c>
      <c r="C118" s="449" t="str">
        <f>VLOOKUP(B118,'пр.взв.'!B$2:H$183,2,FALSE)</f>
        <v>МГОЕВ Джамал Алиевич</v>
      </c>
      <c r="D118" s="429" t="str">
        <f>VLOOKUP(B118,'пр.взв.'!B1:H178,3,FALSE)</f>
        <v>23.07.95, КМС</v>
      </c>
      <c r="E118" s="429" t="str">
        <f>VLOOKUP(C118,'пр.взв.'!C1:I178,3,FALSE)</f>
        <v>ЮФО</v>
      </c>
      <c r="F118" s="429" t="str">
        <f>VLOOKUP(B118,'пр.взв.'!B11:H178,5,FALSE)</f>
        <v>Краснодарский, Краснодар Д</v>
      </c>
      <c r="G118" s="459"/>
      <c r="H118" s="460"/>
      <c r="I118" s="322"/>
      <c r="J118" s="274"/>
      <c r="K118" s="444">
        <v>7</v>
      </c>
      <c r="L118" s="484">
        <f>'пр.хода'!Y41</f>
        <v>4</v>
      </c>
      <c r="M118" s="449" t="str">
        <f>VLOOKUP(L118,'пр.взв.'!B$2:H$170,2,FALSE)</f>
        <v>ШИРЯЕВ Максим Сергеевич</v>
      </c>
      <c r="N118" s="429" t="str">
        <f>VLOOKUP(L118,'пр.взв.'!B1:H178,3,FALSE)</f>
        <v>18.03.88, МСМК</v>
      </c>
      <c r="O118" s="429" t="str">
        <f>VLOOKUP(M118,'пр.взв.'!C1:I178,3,FALSE)</f>
        <v>МОС</v>
      </c>
      <c r="P118" s="429" t="str">
        <f>VLOOKUP(L118,'пр.взв.'!B11:H178,5,FALSE)</f>
        <v>Москва, ВС</v>
      </c>
      <c r="Q118" s="459"/>
      <c r="R118" s="460"/>
      <c r="S118" s="322"/>
      <c r="T118" s="274"/>
    </row>
    <row r="119" spans="1:20" ht="12.75" hidden="1">
      <c r="A119" s="486"/>
      <c r="B119" s="482"/>
      <c r="C119" s="450"/>
      <c r="D119" s="425"/>
      <c r="E119" s="425"/>
      <c r="F119" s="425"/>
      <c r="G119" s="425"/>
      <c r="H119" s="425"/>
      <c r="I119" s="300"/>
      <c r="J119" s="282"/>
      <c r="K119" s="445"/>
      <c r="L119" s="482"/>
      <c r="M119" s="450"/>
      <c r="N119" s="425"/>
      <c r="O119" s="425"/>
      <c r="P119" s="425"/>
      <c r="Q119" s="425"/>
      <c r="R119" s="425"/>
      <c r="S119" s="300"/>
      <c r="T119" s="282"/>
    </row>
    <row r="120" spans="1:20" ht="12.75" customHeight="1" hidden="1">
      <c r="A120" s="486"/>
      <c r="B120" s="482">
        <f>'пр.хода'!G49</f>
        <v>11</v>
      </c>
      <c r="C120" s="453" t="str">
        <f>VLOOKUP(B120,'пр.взв.'!B$7:H$685,2,FALSE)</f>
        <v>ЮСУФОВ Гаджи Чингизович</v>
      </c>
      <c r="D120" s="422" t="str">
        <f>VLOOKUP(B120,'пр.взв.'!B1:H180,3,FALSE)</f>
        <v>08.05.90, МС</v>
      </c>
      <c r="E120" s="422" t="str">
        <f>VLOOKUP(C120,'пр.взв.'!C1:I180,3,FALSE)</f>
        <v>ПФО</v>
      </c>
      <c r="F120" s="422" t="str">
        <f>VLOOKUP(B120,'пр.взв.'!B13:H180,5,FALSE)</f>
        <v>Пермский, Пермь, Д</v>
      </c>
      <c r="G120" s="426"/>
      <c r="H120" s="426"/>
      <c r="I120" s="273"/>
      <c r="J120" s="273"/>
      <c r="K120" s="445"/>
      <c r="L120" s="482">
        <f>'пр.хода'!Y49</f>
        <v>12</v>
      </c>
      <c r="M120" s="453" t="str">
        <f>VLOOKUP(L120,'пр.взв.'!B$4:H$172,2,FALSE)</f>
        <v>АБУЛАДЗЕ Паата Венорович</v>
      </c>
      <c r="N120" s="422" t="str">
        <f>VLOOKUP(L120,'пр.взв.'!B1:H180,3,FALSE)</f>
        <v>15.06.91, КМС</v>
      </c>
      <c r="O120" s="422" t="str">
        <f>VLOOKUP(M120,'пр.взв.'!C1:I180,3,FALSE)</f>
        <v>ЮФО</v>
      </c>
      <c r="P120" s="422" t="str">
        <f>VLOOKUP(L120,'пр.взв.'!B13:H180,5,FALSE)</f>
        <v>Краснодарский, Краснодар Д</v>
      </c>
      <c r="Q120" s="426"/>
      <c r="R120" s="426"/>
      <c r="S120" s="273"/>
      <c r="T120" s="273"/>
    </row>
    <row r="121" spans="1:20" ht="13.5" hidden="1" thickBot="1">
      <c r="A121" s="487"/>
      <c r="B121" s="483"/>
      <c r="C121" s="454"/>
      <c r="D121" s="423"/>
      <c r="E121" s="423"/>
      <c r="F121" s="423"/>
      <c r="G121" s="427"/>
      <c r="H121" s="427"/>
      <c r="I121" s="437"/>
      <c r="J121" s="437"/>
      <c r="K121" s="446"/>
      <c r="L121" s="483"/>
      <c r="M121" s="454"/>
      <c r="N121" s="423"/>
      <c r="O121" s="423"/>
      <c r="P121" s="423"/>
      <c r="Q121" s="427"/>
      <c r="R121" s="427"/>
      <c r="S121" s="437"/>
      <c r="T121" s="437"/>
    </row>
    <row r="122" spans="1:20" ht="12.75" customHeight="1" hidden="1">
      <c r="A122" s="485">
        <v>4</v>
      </c>
      <c r="B122" s="484">
        <f>'пр.хода'!G57</f>
        <v>7</v>
      </c>
      <c r="C122" s="449" t="str">
        <f>VLOOKUP(B122,'пр.взв.'!B$2:H$183,2,FALSE)</f>
        <v>БАЙРАМУКОВ Таулан Хасанович</v>
      </c>
      <c r="D122" s="424" t="str">
        <f>VLOOKUP(B122,'пр.взв.'!B15:H182,3,FALSE)</f>
        <v>09.01.1991, МС</v>
      </c>
      <c r="E122" s="424" t="str">
        <f>VLOOKUP(C122,'пр.взв.'!C15:I182,3,FALSE)</f>
        <v>СКФО</v>
      </c>
      <c r="F122" s="424" t="str">
        <f>VLOOKUP(B122,'пр.взв.'!B15:H182,5,FALSE)</f>
        <v>КЧР, ВС</v>
      </c>
      <c r="G122" s="440"/>
      <c r="H122" s="428"/>
      <c r="I122" s="441"/>
      <c r="J122" s="424"/>
      <c r="K122" s="444">
        <v>8</v>
      </c>
      <c r="L122" s="484">
        <f>'пр.хода'!Y57</f>
        <v>24</v>
      </c>
      <c r="M122" s="449" t="str">
        <f>VLOOKUP(L122,'пр.взв.'!B$2:H$170,2,FALSE)</f>
        <v>СТАРКОВ Михаил Александрович</v>
      </c>
      <c r="N122" s="424" t="str">
        <f>VLOOKUP(L122,'пр.взв.'!B1:H182,3,FALSE)</f>
        <v>13.07.77, МСМК</v>
      </c>
      <c r="O122" s="424" t="str">
        <f>VLOOKUP(M122,'пр.взв.'!C1:I182,3,FALSE)</f>
        <v>УФО</v>
      </c>
      <c r="P122" s="424" t="str">
        <f>VLOOKUP(L122,'пр.взв.'!B15:H182,5,FALSE)</f>
        <v>Свердловская, Екатеринбург, Д</v>
      </c>
      <c r="Q122" s="440"/>
      <c r="R122" s="428"/>
      <c r="S122" s="441"/>
      <c r="T122" s="424"/>
    </row>
    <row r="123" spans="1:20" ht="12.75" hidden="1">
      <c r="A123" s="486"/>
      <c r="B123" s="482"/>
      <c r="C123" s="450"/>
      <c r="D123" s="425"/>
      <c r="E123" s="425"/>
      <c r="F123" s="425"/>
      <c r="G123" s="425"/>
      <c r="H123" s="425"/>
      <c r="I123" s="300"/>
      <c r="J123" s="282"/>
      <c r="K123" s="445"/>
      <c r="L123" s="482"/>
      <c r="M123" s="450"/>
      <c r="N123" s="425"/>
      <c r="O123" s="425"/>
      <c r="P123" s="425"/>
      <c r="Q123" s="425"/>
      <c r="R123" s="425"/>
      <c r="S123" s="300"/>
      <c r="T123" s="282"/>
    </row>
    <row r="124" spans="1:20" ht="12.75" customHeight="1" hidden="1">
      <c r="A124" s="486"/>
      <c r="B124" s="482">
        <f>'пр.хода'!G65</f>
        <v>15</v>
      </c>
      <c r="C124" s="453" t="str">
        <f>VLOOKUP(B124,'пр.взв.'!B$7:H$685,2,FALSE)</f>
        <v>ХОРПЯКОВ Олег Вячеславович</v>
      </c>
      <c r="D124" s="422" t="str">
        <f>VLOOKUP(B124,'пр.взв.'!B1:H184,3,FALSE)</f>
        <v>28.02.77, МСМК</v>
      </c>
      <c r="E124" s="422" t="str">
        <f>VLOOKUP(C124,'пр.взв.'!C1:I184,3,FALSE)</f>
        <v>МОС</v>
      </c>
      <c r="F124" s="429" t="str">
        <f>VLOOKUP(B124,'пр.взв.'!B17:H184,5,FALSE)</f>
        <v>Москва, Д</v>
      </c>
      <c r="G124" s="426"/>
      <c r="H124" s="426"/>
      <c r="I124" s="273"/>
      <c r="J124" s="273"/>
      <c r="K124" s="445"/>
      <c r="L124" s="482">
        <f>'пр.хода'!Y65</f>
        <v>32</v>
      </c>
      <c r="M124" s="453" t="str">
        <f>VLOOKUP(L124,'пр.взв.'!B$4:H$172,2,FALSE)</f>
        <v>ТУНАКОВ Александр Сергеевич</v>
      </c>
      <c r="N124" s="422" t="str">
        <f>VLOOKUP(L124,'пр.взв.'!B1:H184,3,FALSE)</f>
        <v>25.08.94, МС</v>
      </c>
      <c r="O124" s="422" t="str">
        <f>VLOOKUP(M124,'пр.взв.'!C1:I184,3,FALSE)</f>
        <v>ПФО</v>
      </c>
      <c r="P124" s="429" t="str">
        <f>VLOOKUP(L124,'пр.взв.'!B17:H184,5,FALSE)</f>
        <v>Нижегородская, Н.Новгород, ПР</v>
      </c>
      <c r="Q124" s="426"/>
      <c r="R124" s="426"/>
      <c r="S124" s="273"/>
      <c r="T124" s="273"/>
    </row>
    <row r="125" spans="1:20" ht="13.5" hidden="1" thickBot="1">
      <c r="A125" s="487"/>
      <c r="B125" s="483"/>
      <c r="C125" s="454"/>
      <c r="D125" s="423"/>
      <c r="E125" s="423"/>
      <c r="F125" s="423"/>
      <c r="G125" s="427"/>
      <c r="H125" s="427"/>
      <c r="I125" s="437"/>
      <c r="J125" s="437"/>
      <c r="K125" s="446"/>
      <c r="L125" s="483"/>
      <c r="M125" s="454"/>
      <c r="N125" s="423"/>
      <c r="O125" s="423"/>
      <c r="P125" s="423"/>
      <c r="Q125" s="427"/>
      <c r="R125" s="427"/>
      <c r="S125" s="437"/>
      <c r="T125" s="437"/>
    </row>
    <row r="127" spans="2:20" ht="16.5" hidden="1" thickBot="1">
      <c r="B127" s="71" t="s">
        <v>39</v>
      </c>
      <c r="C127" s="72" t="s">
        <v>40</v>
      </c>
      <c r="D127" s="73" t="s">
        <v>49</v>
      </c>
      <c r="E127" s="73"/>
      <c r="F127" s="72"/>
      <c r="G127" s="71" t="str">
        <f>G107</f>
        <v>в.к. св 100 кг.</v>
      </c>
      <c r="H127" s="72"/>
      <c r="I127" s="72"/>
      <c r="J127" s="72"/>
      <c r="K127" s="72"/>
      <c r="L127" s="71" t="s">
        <v>50</v>
      </c>
      <c r="M127" s="72" t="s">
        <v>40</v>
      </c>
      <c r="N127" s="73" t="s">
        <v>49</v>
      </c>
      <c r="O127" s="73"/>
      <c r="P127" s="72"/>
      <c r="Q127" s="71" t="str">
        <f>G127</f>
        <v>в.к. св 100 кг.</v>
      </c>
      <c r="R127" s="72"/>
      <c r="S127" s="72"/>
      <c r="T127" s="72"/>
    </row>
    <row r="128" spans="1:20" ht="12.75" customHeight="1" hidden="1">
      <c r="A128" s="471" t="s">
        <v>42</v>
      </c>
      <c r="B128" s="473" t="s">
        <v>3</v>
      </c>
      <c r="C128" s="464" t="s">
        <v>4</v>
      </c>
      <c r="D128" s="434" t="s">
        <v>13</v>
      </c>
      <c r="E128" s="430" t="s">
        <v>14</v>
      </c>
      <c r="F128" s="431"/>
      <c r="G128" s="464" t="s">
        <v>15</v>
      </c>
      <c r="H128" s="466" t="s">
        <v>43</v>
      </c>
      <c r="I128" s="468" t="s">
        <v>44</v>
      </c>
      <c r="J128" s="469" t="s">
        <v>17</v>
      </c>
      <c r="K128" s="471" t="s">
        <v>42</v>
      </c>
      <c r="L128" s="473" t="s">
        <v>3</v>
      </c>
      <c r="M128" s="464" t="s">
        <v>4</v>
      </c>
      <c r="N128" s="434" t="s">
        <v>13</v>
      </c>
      <c r="O128" s="430" t="s">
        <v>14</v>
      </c>
      <c r="P128" s="431"/>
      <c r="Q128" s="464" t="s">
        <v>15</v>
      </c>
      <c r="R128" s="466" t="s">
        <v>43</v>
      </c>
      <c r="S128" s="468" t="s">
        <v>44</v>
      </c>
      <c r="T128" s="469" t="s">
        <v>17</v>
      </c>
    </row>
    <row r="129" spans="1:20" ht="13.5" customHeight="1" hidden="1" thickBot="1">
      <c r="A129" s="472"/>
      <c r="B129" s="474" t="s">
        <v>45</v>
      </c>
      <c r="C129" s="465"/>
      <c r="D129" s="435"/>
      <c r="E129" s="432"/>
      <c r="F129" s="433"/>
      <c r="G129" s="465"/>
      <c r="H129" s="467"/>
      <c r="I129" s="437"/>
      <c r="J129" s="470" t="s">
        <v>46</v>
      </c>
      <c r="K129" s="472"/>
      <c r="L129" s="474" t="s">
        <v>45</v>
      </c>
      <c r="M129" s="465"/>
      <c r="N129" s="435"/>
      <c r="O129" s="432"/>
      <c r="P129" s="433"/>
      <c r="Q129" s="465"/>
      <c r="R129" s="467"/>
      <c r="S129" s="437"/>
      <c r="T129" s="470" t="s">
        <v>46</v>
      </c>
    </row>
    <row r="130" spans="1:20" ht="12.75" hidden="1">
      <c r="A130" s="485">
        <v>1</v>
      </c>
      <c r="B130" s="484">
        <f>'пр.хода'!I12</f>
        <v>17</v>
      </c>
      <c r="C130" s="449" t="str">
        <f>VLOOKUP(B130,'пр.взв.'!B$2:H$143,2,FALSE)</f>
        <v>САРИБЕКЯН Павел Андреевич</v>
      </c>
      <c r="D130" s="429" t="str">
        <f>VLOOKUP(B130,'пр.взв.'!B2:H190,3,FALSE)</f>
        <v>13.07.92, МС</v>
      </c>
      <c r="E130" s="429" t="str">
        <f>VLOOKUP(C130,'пр.взв.'!C2:I190,3,FALSE)</f>
        <v>ЮФО</v>
      </c>
      <c r="F130" s="429" t="str">
        <f>VLOOKUP(B130,'пр.взв.'!B2:H190,5,FALSE)</f>
        <v>Краснодарский край Курганинск, Д</v>
      </c>
      <c r="G130" s="440"/>
      <c r="H130" s="428"/>
      <c r="I130" s="441"/>
      <c r="J130" s="434"/>
      <c r="K130" s="444">
        <v>3</v>
      </c>
      <c r="L130" s="484">
        <f>'пр.хода'!W12</f>
        <v>26</v>
      </c>
      <c r="M130" s="449" t="str">
        <f>VLOOKUP(L130,'пр.взв.'!B$2:H$190,2,FALSE)</f>
        <v>АРСЛАНОВ Рустем Разитович</v>
      </c>
      <c r="N130" s="429" t="str">
        <f>VLOOKUP(L130,'пр.взв.'!B2:H190,3,FALSE)</f>
        <v>31.07.80 мс</v>
      </c>
      <c r="O130" s="429" t="str">
        <f>VLOOKUP(M130,'пр.взв.'!C2:I190,3,FALSE)</f>
        <v>ПФО</v>
      </c>
      <c r="P130" s="429" t="str">
        <f>VLOOKUP(L130,'пр.взв.'!B2:H190,5,FALSE)</f>
        <v>Башкортостан Уфа Д</v>
      </c>
      <c r="Q130" s="440"/>
      <c r="R130" s="428"/>
      <c r="S130" s="441"/>
      <c r="T130" s="434"/>
    </row>
    <row r="131" spans="1:20" ht="12.75" hidden="1">
      <c r="A131" s="486"/>
      <c r="B131" s="482"/>
      <c r="C131" s="450"/>
      <c r="D131" s="425"/>
      <c r="E131" s="425"/>
      <c r="F131" s="425"/>
      <c r="G131" s="425"/>
      <c r="H131" s="425"/>
      <c r="I131" s="300"/>
      <c r="J131" s="282"/>
      <c r="K131" s="445"/>
      <c r="L131" s="482"/>
      <c r="M131" s="450"/>
      <c r="N131" s="425"/>
      <c r="O131" s="425"/>
      <c r="P131" s="425"/>
      <c r="Q131" s="425"/>
      <c r="R131" s="425"/>
      <c r="S131" s="300"/>
      <c r="T131" s="282"/>
    </row>
    <row r="132" spans="1:20" ht="12.75" hidden="1">
      <c r="A132" s="486"/>
      <c r="B132" s="482">
        <f>'пр.хода'!I28</f>
        <v>29</v>
      </c>
      <c r="C132" s="453" t="str">
        <f>VLOOKUP(B132,'пр.взв.'!B$2:H$145,2,FALSE)</f>
        <v>ОСИПЕНКО Артем Иванович</v>
      </c>
      <c r="D132" s="422" t="str">
        <f>VLOOKUP(B132,'пр.взв.'!B2:H192,3,FALSE)</f>
        <v>27.05.88 змс</v>
      </c>
      <c r="E132" s="422" t="str">
        <f>VLOOKUP(C132,'пр.взв.'!C2:I192,3,FALSE)</f>
        <v>ЦФО</v>
      </c>
      <c r="F132" s="422" t="str">
        <f>VLOOKUP(B132,'пр.взв.'!B5:H192,5,FALSE)</f>
        <v>Брянская Брянск ВС</v>
      </c>
      <c r="G132" s="426"/>
      <c r="H132" s="426"/>
      <c r="I132" s="273"/>
      <c r="J132" s="273"/>
      <c r="K132" s="445"/>
      <c r="L132" s="482">
        <f>'пр.хода'!W28</f>
        <v>6</v>
      </c>
      <c r="M132" s="453" t="str">
        <f>VLOOKUP(L132,'пр.взв.'!B$2:H$192,2,FALSE)</f>
        <v>КУЧУМОВ Александр Николаевич</v>
      </c>
      <c r="N132" s="422" t="str">
        <f>VLOOKUP(L132,'пр.взв.'!B2:H192,3,FALSE)</f>
        <v>06.11.90, мсмк</v>
      </c>
      <c r="O132" s="422" t="str">
        <f>VLOOKUP(M132,'пр.взв.'!C2:I192,3,FALSE)</f>
        <v>МОС</v>
      </c>
      <c r="P132" s="422" t="str">
        <f>VLOOKUP(L132,'пр.взв.'!B5:H192,5,FALSE)</f>
        <v>г. Москва, Д</v>
      </c>
      <c r="Q132" s="426"/>
      <c r="R132" s="426"/>
      <c r="S132" s="273"/>
      <c r="T132" s="273"/>
    </row>
    <row r="133" spans="1:20" ht="13.5" hidden="1" thickBot="1">
      <c r="A133" s="487"/>
      <c r="B133" s="483"/>
      <c r="C133" s="454"/>
      <c r="D133" s="423"/>
      <c r="E133" s="423"/>
      <c r="F133" s="423"/>
      <c r="G133" s="427"/>
      <c r="H133" s="427"/>
      <c r="I133" s="437"/>
      <c r="J133" s="437"/>
      <c r="K133" s="446"/>
      <c r="L133" s="483"/>
      <c r="M133" s="454"/>
      <c r="N133" s="423"/>
      <c r="O133" s="423"/>
      <c r="P133" s="423"/>
      <c r="Q133" s="427"/>
      <c r="R133" s="427"/>
      <c r="S133" s="437"/>
      <c r="T133" s="437"/>
    </row>
    <row r="134" spans="1:20" ht="12.75" customHeight="1" hidden="1">
      <c r="A134" s="485">
        <v>2</v>
      </c>
      <c r="B134" s="484">
        <f>'пр.хода'!I46</f>
        <v>11</v>
      </c>
      <c r="C134" s="449" t="str">
        <f>VLOOKUP(B134,'пр.взв.'!B$2:H$143,2,FALSE)</f>
        <v>ЮСУФОВ Гаджи Чингизович</v>
      </c>
      <c r="D134" s="424" t="str">
        <f>VLOOKUP(B134,'пр.взв.'!B2:H194,3,FALSE)</f>
        <v>08.05.90, МС</v>
      </c>
      <c r="E134" s="424" t="str">
        <f>VLOOKUP(C134,'пр.взв.'!C2:I194,3,FALSE)</f>
        <v>ПФО</v>
      </c>
      <c r="F134" s="429" t="str">
        <f>VLOOKUP(B134,'пр.взв.'!B7:H194,5,FALSE)</f>
        <v>Пермский, Пермь, Д</v>
      </c>
      <c r="G134" s="440"/>
      <c r="H134" s="428"/>
      <c r="I134" s="441"/>
      <c r="J134" s="424"/>
      <c r="K134" s="444">
        <v>4</v>
      </c>
      <c r="L134" s="484">
        <f>'пр.хода'!W45</f>
        <v>12</v>
      </c>
      <c r="M134" s="449" t="str">
        <f>VLOOKUP(L134,'пр.взв.'!B$2:H$190,2,FALSE)</f>
        <v>АБУЛАДЗЕ Паата Венорович</v>
      </c>
      <c r="N134" s="424" t="str">
        <f>VLOOKUP(L134,'пр.взв.'!B2:H194,3,FALSE)</f>
        <v>15.06.91, КМС</v>
      </c>
      <c r="O134" s="424" t="str">
        <f>VLOOKUP(M134,'пр.взв.'!C2:I194,3,FALSE)</f>
        <v>ЮФО</v>
      </c>
      <c r="P134" s="429" t="str">
        <f>VLOOKUP(L134,'пр.взв.'!B7:H194,5,FALSE)</f>
        <v>Краснодарский, Краснодар Д</v>
      </c>
      <c r="Q134" s="440"/>
      <c r="R134" s="428"/>
      <c r="S134" s="441"/>
      <c r="T134" s="424"/>
    </row>
    <row r="135" spans="1:20" ht="12.75" hidden="1">
      <c r="A135" s="486"/>
      <c r="B135" s="482"/>
      <c r="C135" s="450"/>
      <c r="D135" s="425"/>
      <c r="E135" s="425"/>
      <c r="F135" s="425"/>
      <c r="G135" s="425"/>
      <c r="H135" s="425"/>
      <c r="I135" s="300"/>
      <c r="J135" s="282"/>
      <c r="K135" s="445"/>
      <c r="L135" s="482"/>
      <c r="M135" s="450"/>
      <c r="N135" s="425"/>
      <c r="O135" s="425"/>
      <c r="P135" s="425"/>
      <c r="Q135" s="425"/>
      <c r="R135" s="425"/>
      <c r="S135" s="300"/>
      <c r="T135" s="282"/>
    </row>
    <row r="136" spans="1:20" ht="12.75" customHeight="1" hidden="1">
      <c r="A136" s="486"/>
      <c r="B136" s="482">
        <f>'пр.хода'!I61</f>
        <v>15</v>
      </c>
      <c r="C136" s="453" t="str">
        <f>VLOOKUP(B136,'пр.взв.'!B$2:H$145,2,FALSE)</f>
        <v>ХОРПЯКОВ Олег Вячеславович</v>
      </c>
      <c r="D136" s="422" t="str">
        <f>VLOOKUP(B136,'пр.взв.'!B2:H196,3,FALSE)</f>
        <v>28.02.77, МСМК</v>
      </c>
      <c r="E136" s="422" t="str">
        <f>VLOOKUP(C136,'пр.взв.'!C2:I196,3,FALSE)</f>
        <v>МОС</v>
      </c>
      <c r="F136" s="429" t="str">
        <f>VLOOKUP(B136,'пр.взв.'!B9:H196,5,FALSE)</f>
        <v>Москва, Д</v>
      </c>
      <c r="G136" s="426"/>
      <c r="H136" s="426"/>
      <c r="I136" s="273"/>
      <c r="J136" s="273"/>
      <c r="K136" s="445"/>
      <c r="L136" s="482">
        <f>'пр.хода'!W61</f>
        <v>24</v>
      </c>
      <c r="M136" s="453" t="str">
        <f>VLOOKUP(L136,'пр.взв.'!B$2:H$192,2,FALSE)</f>
        <v>СТАРКОВ Михаил Александрович</v>
      </c>
      <c r="N136" s="422" t="str">
        <f>VLOOKUP(L136,'пр.взв.'!B2:H196,3,FALSE)</f>
        <v>13.07.77, МСМК</v>
      </c>
      <c r="O136" s="422" t="str">
        <f>VLOOKUP(M136,'пр.взв.'!C2:I196,3,FALSE)</f>
        <v>УФО</v>
      </c>
      <c r="P136" s="429" t="str">
        <f>VLOOKUP(L136,'пр.взв.'!B9:H196,5,FALSE)</f>
        <v>Свердловская, Екатеринбург, Д</v>
      </c>
      <c r="Q136" s="426"/>
      <c r="R136" s="426"/>
      <c r="S136" s="273"/>
      <c r="T136" s="273"/>
    </row>
    <row r="137" spans="1:20" ht="13.5" hidden="1" thickBot="1">
      <c r="A137" s="487"/>
      <c r="B137" s="483"/>
      <c r="C137" s="454"/>
      <c r="D137" s="423"/>
      <c r="E137" s="423"/>
      <c r="F137" s="423"/>
      <c r="G137" s="427"/>
      <c r="H137" s="427"/>
      <c r="I137" s="437"/>
      <c r="J137" s="437"/>
      <c r="K137" s="446"/>
      <c r="L137" s="483"/>
      <c r="M137" s="454"/>
      <c r="N137" s="423"/>
      <c r="O137" s="423"/>
      <c r="P137" s="423"/>
      <c r="Q137" s="427"/>
      <c r="R137" s="427"/>
      <c r="S137" s="437"/>
      <c r="T137" s="437"/>
    </row>
    <row r="138" ht="12.75" hidden="1"/>
    <row r="139" spans="2:20" ht="16.5" hidden="1" thickBot="1">
      <c r="B139" s="71" t="s">
        <v>39</v>
      </c>
      <c r="C139" s="106" t="s">
        <v>51</v>
      </c>
      <c r="D139" s="92"/>
      <c r="E139" s="92"/>
      <c r="F139" s="92"/>
      <c r="G139" s="97" t="str">
        <f>G127</f>
        <v>в.к. св 100 кг.</v>
      </c>
      <c r="H139" s="92"/>
      <c r="I139" s="92"/>
      <c r="J139" s="92"/>
      <c r="K139" s="93"/>
      <c r="L139" s="71" t="s">
        <v>1</v>
      </c>
      <c r="M139" s="106" t="s">
        <v>51</v>
      </c>
      <c r="N139" s="92"/>
      <c r="O139" s="92"/>
      <c r="P139" s="92"/>
      <c r="Q139" s="71" t="str">
        <f>G139</f>
        <v>в.к. св 100 кг.</v>
      </c>
      <c r="R139" s="92"/>
      <c r="S139" s="92"/>
      <c r="T139" s="92"/>
    </row>
    <row r="140" spans="1:20" ht="12.75" customHeight="1" hidden="1">
      <c r="A140" s="471" t="s">
        <v>42</v>
      </c>
      <c r="B140" s="473" t="s">
        <v>3</v>
      </c>
      <c r="C140" s="464" t="s">
        <v>4</v>
      </c>
      <c r="D140" s="434" t="s">
        <v>13</v>
      </c>
      <c r="E140" s="430" t="s">
        <v>14</v>
      </c>
      <c r="F140" s="431"/>
      <c r="G140" s="464" t="s">
        <v>15</v>
      </c>
      <c r="H140" s="466" t="s">
        <v>43</v>
      </c>
      <c r="I140" s="468" t="s">
        <v>44</v>
      </c>
      <c r="J140" s="469" t="s">
        <v>17</v>
      </c>
      <c r="K140" s="471" t="s">
        <v>42</v>
      </c>
      <c r="L140" s="473" t="s">
        <v>3</v>
      </c>
      <c r="M140" s="464" t="s">
        <v>4</v>
      </c>
      <c r="N140" s="434" t="s">
        <v>13</v>
      </c>
      <c r="O140" s="430" t="s">
        <v>14</v>
      </c>
      <c r="P140" s="431"/>
      <c r="Q140" s="464" t="s">
        <v>15</v>
      </c>
      <c r="R140" s="466" t="s">
        <v>43</v>
      </c>
      <c r="S140" s="468" t="s">
        <v>44</v>
      </c>
      <c r="T140" s="469" t="s">
        <v>17</v>
      </c>
    </row>
    <row r="141" spans="1:20" ht="13.5" customHeight="1" hidden="1" thickBot="1">
      <c r="A141" s="472"/>
      <c r="B141" s="474" t="s">
        <v>45</v>
      </c>
      <c r="C141" s="465"/>
      <c r="D141" s="435"/>
      <c r="E141" s="432"/>
      <c r="F141" s="433"/>
      <c r="G141" s="465"/>
      <c r="H141" s="467"/>
      <c r="I141" s="437"/>
      <c r="J141" s="470" t="s">
        <v>46</v>
      </c>
      <c r="K141" s="472"/>
      <c r="L141" s="474" t="s">
        <v>45</v>
      </c>
      <c r="M141" s="465"/>
      <c r="N141" s="435"/>
      <c r="O141" s="432"/>
      <c r="P141" s="433"/>
      <c r="Q141" s="465"/>
      <c r="R141" s="467"/>
      <c r="S141" s="437"/>
      <c r="T141" s="470" t="s">
        <v>46</v>
      </c>
    </row>
    <row r="142" spans="1:20" ht="12.75" hidden="1">
      <c r="A142" s="475">
        <v>1</v>
      </c>
      <c r="B142" s="478">
        <f>'пр.хода'!K20</f>
        <v>29</v>
      </c>
      <c r="C142" s="449" t="str">
        <f>VLOOKUP(B142,'пр.взв.'!B$1:H$215,2,FALSE)</f>
        <v>ОСИПЕНКО Артем Иванович</v>
      </c>
      <c r="D142" s="424" t="str">
        <f>VLOOKUP(B142,'пр.взв.'!B1:H202,3,FALSE)</f>
        <v>27.05.88 змс</v>
      </c>
      <c r="E142" s="424" t="str">
        <f>VLOOKUP(C142,'пр.взв.'!C1:I202,3,FALSE)</f>
        <v>ЦФО</v>
      </c>
      <c r="F142" s="424" t="str">
        <f>VLOOKUP(B142,'пр.взв.'!B1:H202,5,FALSE)</f>
        <v>Брянская Брянск ВС</v>
      </c>
      <c r="G142" s="440"/>
      <c r="H142" s="428"/>
      <c r="I142" s="441"/>
      <c r="J142" s="434"/>
      <c r="K142" s="475">
        <v>2</v>
      </c>
      <c r="L142" s="478">
        <f>'пр.хода'!U20</f>
        <v>26</v>
      </c>
      <c r="M142" s="449" t="str">
        <f>VLOOKUP(L142,'пр.взв.'!B1:H202,2,FALSE)</f>
        <v>АРСЛАНОВ Рустем Разитович</v>
      </c>
      <c r="N142" s="424" t="str">
        <f>VLOOKUP(L142,'пр.взв.'!B1:H202,3,FALSE)</f>
        <v>31.07.80 мс</v>
      </c>
      <c r="O142" s="424" t="str">
        <f>VLOOKUP(M142,'пр.взв.'!C1:I202,3,FALSE)</f>
        <v>ПФО</v>
      </c>
      <c r="P142" s="424" t="str">
        <f>VLOOKUP(L142,'пр.взв.'!B1:H202,5,FALSE)</f>
        <v>Башкортостан Уфа Д</v>
      </c>
      <c r="Q142" s="440"/>
      <c r="R142" s="428"/>
      <c r="S142" s="441"/>
      <c r="T142" s="434"/>
    </row>
    <row r="143" spans="1:20" ht="12.75" hidden="1">
      <c r="A143" s="476"/>
      <c r="B143" s="479"/>
      <c r="C143" s="450"/>
      <c r="D143" s="425"/>
      <c r="E143" s="425"/>
      <c r="F143" s="425"/>
      <c r="G143" s="425"/>
      <c r="H143" s="425"/>
      <c r="I143" s="300"/>
      <c r="J143" s="282"/>
      <c r="K143" s="476"/>
      <c r="L143" s="479"/>
      <c r="M143" s="450"/>
      <c r="N143" s="425"/>
      <c r="O143" s="425"/>
      <c r="P143" s="425"/>
      <c r="Q143" s="425"/>
      <c r="R143" s="425"/>
      <c r="S143" s="300"/>
      <c r="T143" s="282"/>
    </row>
    <row r="144" spans="1:20" ht="12.75" hidden="1">
      <c r="A144" s="476"/>
      <c r="B144" s="480">
        <f>'пр.хода'!K53</f>
        <v>11</v>
      </c>
      <c r="C144" s="453" t="str">
        <f>VLOOKUP(B144,'пр.взв.'!B$1:H$217,2,FALSE)</f>
        <v>ЮСУФОВ Гаджи Чингизович</v>
      </c>
      <c r="D144" s="422" t="str">
        <f>VLOOKUP(B144,'пр.взв.'!B1:H204,3,FALSE)</f>
        <v>08.05.90, МС</v>
      </c>
      <c r="E144" s="422" t="str">
        <f>VLOOKUP(C144,'пр.взв.'!C1:I204,3,FALSE)</f>
        <v>ПФО</v>
      </c>
      <c r="F144" s="422" t="str">
        <f>VLOOKUP(B144,'пр.взв.'!B1:H204,5,FALSE)</f>
        <v>Пермский, Пермь, Д</v>
      </c>
      <c r="G144" s="426"/>
      <c r="H144" s="426"/>
      <c r="I144" s="273"/>
      <c r="J144" s="273"/>
      <c r="K144" s="476"/>
      <c r="L144" s="480">
        <f>'пр.хода'!U53</f>
        <v>12</v>
      </c>
      <c r="M144" s="453" t="str">
        <f>VLOOKUP(L144,'пр.взв.'!B1:H204,2,FALSE)</f>
        <v>АБУЛАДЗЕ Паата Венорович</v>
      </c>
      <c r="N144" s="422" t="str">
        <f>VLOOKUP(L144,'пр.взв.'!B1:H204,3,FALSE)</f>
        <v>15.06.91, КМС</v>
      </c>
      <c r="O144" s="422" t="str">
        <f>VLOOKUP(M144,'пр.взв.'!C1:I204,3,FALSE)</f>
        <v>ЮФО</v>
      </c>
      <c r="P144" s="422" t="str">
        <f>VLOOKUP(L144,'пр.взв.'!B1:H204,5,FALSE)</f>
        <v>Краснодарский, Краснодар Д</v>
      </c>
      <c r="Q144" s="426"/>
      <c r="R144" s="426"/>
      <c r="S144" s="273"/>
      <c r="T144" s="273"/>
    </row>
    <row r="145" spans="1:20" ht="13.5" hidden="1" thickBot="1">
      <c r="A145" s="477"/>
      <c r="B145" s="481"/>
      <c r="C145" s="454"/>
      <c r="D145" s="423"/>
      <c r="E145" s="423"/>
      <c r="F145" s="423"/>
      <c r="G145" s="427"/>
      <c r="H145" s="427"/>
      <c r="I145" s="437"/>
      <c r="J145" s="437"/>
      <c r="K145" s="477"/>
      <c r="L145" s="481"/>
      <c r="M145" s="454"/>
      <c r="N145" s="423"/>
      <c r="O145" s="423"/>
      <c r="P145" s="423"/>
      <c r="Q145" s="427"/>
      <c r="R145" s="427"/>
      <c r="S145" s="437"/>
      <c r="T145" s="437"/>
    </row>
    <row r="147" spans="1:20" ht="15">
      <c r="A147" s="436" t="s">
        <v>52</v>
      </c>
      <c r="B147" s="436"/>
      <c r="C147" s="436"/>
      <c r="D147" s="436"/>
      <c r="E147" s="436"/>
      <c r="F147" s="436"/>
      <c r="G147" s="436"/>
      <c r="H147" s="436"/>
      <c r="I147" s="436"/>
      <c r="J147" s="436"/>
      <c r="K147" s="436" t="s">
        <v>53</v>
      </c>
      <c r="L147" s="436"/>
      <c r="M147" s="436"/>
      <c r="N147" s="436"/>
      <c r="O147" s="436"/>
      <c r="P147" s="436"/>
      <c r="Q147" s="436"/>
      <c r="R147" s="436"/>
      <c r="S147" s="436"/>
      <c r="T147" s="436"/>
    </row>
    <row r="148" spans="2:20" ht="16.5" thickBot="1">
      <c r="B148" s="71" t="s">
        <v>39</v>
      </c>
      <c r="C148" s="94"/>
      <c r="D148" s="94"/>
      <c r="E148" s="94"/>
      <c r="F148" s="94"/>
      <c r="G148" s="95" t="str">
        <f>G139</f>
        <v>в.к. св 100 кг.</v>
      </c>
      <c r="H148" s="94"/>
      <c r="I148" s="94"/>
      <c r="J148" s="94"/>
      <c r="K148" s="78"/>
      <c r="L148" s="96" t="s">
        <v>1</v>
      </c>
      <c r="M148" s="94"/>
      <c r="N148" s="94"/>
      <c r="O148" s="94"/>
      <c r="P148" s="94"/>
      <c r="Q148" s="95" t="str">
        <f>G148</f>
        <v>в.к. св 100 кг.</v>
      </c>
      <c r="R148" s="93"/>
      <c r="S148" s="93"/>
      <c r="T148" s="93"/>
    </row>
    <row r="149" spans="1:20" ht="12.75" customHeight="1">
      <c r="A149" s="471" t="s">
        <v>42</v>
      </c>
      <c r="B149" s="473" t="s">
        <v>3</v>
      </c>
      <c r="C149" s="464" t="s">
        <v>4</v>
      </c>
      <c r="D149" s="434" t="s">
        <v>13</v>
      </c>
      <c r="E149" s="430" t="s">
        <v>14</v>
      </c>
      <c r="F149" s="431"/>
      <c r="G149" s="464" t="s">
        <v>15</v>
      </c>
      <c r="H149" s="466" t="s">
        <v>43</v>
      </c>
      <c r="I149" s="468" t="s">
        <v>44</v>
      </c>
      <c r="J149" s="469" t="s">
        <v>17</v>
      </c>
      <c r="K149" s="471" t="s">
        <v>42</v>
      </c>
      <c r="L149" s="473" t="s">
        <v>3</v>
      </c>
      <c r="M149" s="464" t="s">
        <v>4</v>
      </c>
      <c r="N149" s="434" t="s">
        <v>13</v>
      </c>
      <c r="O149" s="430" t="s">
        <v>14</v>
      </c>
      <c r="P149" s="431"/>
      <c r="Q149" s="464" t="s">
        <v>15</v>
      </c>
      <c r="R149" s="466" t="s">
        <v>43</v>
      </c>
      <c r="S149" s="468" t="s">
        <v>44</v>
      </c>
      <c r="T149" s="469" t="s">
        <v>17</v>
      </c>
    </row>
    <row r="150" spans="1:20" ht="14.25" customHeight="1" thickBot="1">
      <c r="A150" s="472"/>
      <c r="B150" s="474" t="s">
        <v>45</v>
      </c>
      <c r="C150" s="465"/>
      <c r="D150" s="435"/>
      <c r="E150" s="432"/>
      <c r="F150" s="433"/>
      <c r="G150" s="465"/>
      <c r="H150" s="467"/>
      <c r="I150" s="437"/>
      <c r="J150" s="470" t="s">
        <v>46</v>
      </c>
      <c r="K150" s="472"/>
      <c r="L150" s="474" t="s">
        <v>45</v>
      </c>
      <c r="M150" s="465"/>
      <c r="N150" s="435"/>
      <c r="O150" s="432"/>
      <c r="P150" s="433"/>
      <c r="Q150" s="465"/>
      <c r="R150" s="467"/>
      <c r="S150" s="437"/>
      <c r="T150" s="470" t="s">
        <v>46</v>
      </c>
    </row>
    <row r="151" spans="1:20" ht="12.75" hidden="1">
      <c r="A151" s="444">
        <v>1</v>
      </c>
      <c r="B151" s="447">
        <f>'пр.хода'!L7</f>
        <v>61</v>
      </c>
      <c r="C151" s="449" t="e">
        <f>VLOOKUP(B151,'пр.взв.'!B2:H624,2,FALSE)</f>
        <v>#N/A</v>
      </c>
      <c r="D151" s="424" t="e">
        <f>VLOOKUP(B151,'пр.взв.'!B2:H211,3,FALSE)</f>
        <v>#N/A</v>
      </c>
      <c r="E151" s="424" t="e">
        <f>VLOOKUP(C151,'пр.взв.'!C2:I211,3,FALSE)</f>
        <v>#N/A</v>
      </c>
      <c r="F151" s="424" t="e">
        <f>VLOOKUP(B151,'пр.взв.'!B2:H211,5,FALSE)</f>
        <v>#N/A</v>
      </c>
      <c r="G151" s="440"/>
      <c r="H151" s="428"/>
      <c r="I151" s="441"/>
      <c r="J151" s="434"/>
      <c r="K151" s="444">
        <v>3</v>
      </c>
      <c r="L151" s="447">
        <f>'пр.хода'!L56</f>
        <v>58</v>
      </c>
      <c r="M151" s="449" t="e">
        <f>VLOOKUP(L151,'пр.взв.'!B2:H211,2,FALSE)</f>
        <v>#N/A</v>
      </c>
      <c r="N151" s="424" t="e">
        <f>VLOOKUP(L151,'пр.взв.'!B2:H211,3,FALSE)</f>
        <v>#N/A</v>
      </c>
      <c r="O151" s="424" t="e">
        <f>VLOOKUP(M151,'пр.взв.'!C2:I211,3,FALSE)</f>
        <v>#N/A</v>
      </c>
      <c r="P151" s="424" t="e">
        <f>VLOOKUP(L151,'пр.взв.'!B2:H211,5,FALSE)</f>
        <v>#N/A</v>
      </c>
      <c r="Q151" s="440"/>
      <c r="R151" s="428"/>
      <c r="S151" s="441"/>
      <c r="T151" s="434"/>
    </row>
    <row r="152" spans="1:20" ht="12.75" hidden="1">
      <c r="A152" s="445"/>
      <c r="B152" s="448"/>
      <c r="C152" s="450"/>
      <c r="D152" s="425"/>
      <c r="E152" s="425"/>
      <c r="F152" s="425"/>
      <c r="G152" s="425"/>
      <c r="H152" s="425"/>
      <c r="I152" s="300"/>
      <c r="J152" s="282"/>
      <c r="K152" s="445"/>
      <c r="L152" s="448"/>
      <c r="M152" s="450"/>
      <c r="N152" s="425"/>
      <c r="O152" s="425"/>
      <c r="P152" s="425"/>
      <c r="Q152" s="425"/>
      <c r="R152" s="425"/>
      <c r="S152" s="300"/>
      <c r="T152" s="282"/>
    </row>
    <row r="153" spans="1:20" ht="12.75" hidden="1">
      <c r="A153" s="445"/>
      <c r="B153" s="451">
        <f>'пр.хода'!L10</f>
        <v>13</v>
      </c>
      <c r="C153" s="453" t="str">
        <f>VLOOKUP(B153,'пр.взв.'!B2:H626,2,FALSE)</f>
        <v>КОМЛЕВ Роман Олегович</v>
      </c>
      <c r="D153" s="422" t="str">
        <f>VLOOKUP(B153,'пр.взв.'!B2:H213,3,FALSE)</f>
        <v>15.09.89, МС</v>
      </c>
      <c r="E153" s="422" t="str">
        <f>VLOOKUP(C153,'пр.взв.'!C2:I213,3,FALSE)</f>
        <v>СФО</v>
      </c>
      <c r="F153" s="429" t="str">
        <f>VLOOKUP(B153,'пр.взв.'!B5:H213,5,FALSE)</f>
        <v>Кемеровская, Новокузнецк, МО</v>
      </c>
      <c r="G153" s="426"/>
      <c r="H153" s="426"/>
      <c r="I153" s="273"/>
      <c r="J153" s="273"/>
      <c r="K153" s="445"/>
      <c r="L153" s="451">
        <f>'пр.хода'!L59</f>
        <v>10</v>
      </c>
      <c r="M153" s="453" t="str">
        <f>VLOOKUP(L153,'пр.взв.'!B2:H213,2,FALSE)</f>
        <v>МЕРЕТУКОВ Заур Довлетбиевич</v>
      </c>
      <c r="N153" s="422" t="str">
        <f>VLOOKUP(L153,'пр.взв.'!B2:H213,3,FALSE)</f>
        <v>08.10.93, КМС</v>
      </c>
      <c r="O153" s="422" t="str">
        <f>VLOOKUP(M153,'пр.взв.'!C2:I213,3,FALSE)</f>
        <v>МОС</v>
      </c>
      <c r="P153" s="429" t="str">
        <f>VLOOKUP(L153,'пр.взв.'!B5:H213,5,FALSE)</f>
        <v>Москва</v>
      </c>
      <c r="Q153" s="426"/>
      <c r="R153" s="426"/>
      <c r="S153" s="273"/>
      <c r="T153" s="273"/>
    </row>
    <row r="154" spans="1:20" ht="13.5" hidden="1" thickBot="1">
      <c r="A154" s="463"/>
      <c r="B154" s="452"/>
      <c r="C154" s="454"/>
      <c r="D154" s="423"/>
      <c r="E154" s="423"/>
      <c r="F154" s="425"/>
      <c r="G154" s="427"/>
      <c r="H154" s="427"/>
      <c r="I154" s="437"/>
      <c r="J154" s="437"/>
      <c r="K154" s="463"/>
      <c r="L154" s="452"/>
      <c r="M154" s="454"/>
      <c r="N154" s="423"/>
      <c r="O154" s="423"/>
      <c r="P154" s="425"/>
      <c r="Q154" s="427"/>
      <c r="R154" s="427"/>
      <c r="S154" s="437"/>
      <c r="T154" s="437"/>
    </row>
    <row r="155" spans="1:20" ht="12.75" hidden="1">
      <c r="A155" s="444">
        <v>2</v>
      </c>
      <c r="B155" s="461">
        <f>'пр.хода'!L14</f>
        <v>43</v>
      </c>
      <c r="C155" s="449" t="e">
        <f>VLOOKUP(B155,'пр.взв.'!B2:H628,2,FALSE)</f>
        <v>#N/A</v>
      </c>
      <c r="D155" s="424" t="e">
        <f>VLOOKUP(B155,'пр.взв.'!B2:H215,3,FALSE)</f>
        <v>#N/A</v>
      </c>
      <c r="E155" s="424" t="e">
        <f>VLOOKUP(C155,'пр.взв.'!C2:I215,3,FALSE)</f>
        <v>#N/A</v>
      </c>
      <c r="F155" s="424" t="e">
        <f>VLOOKUP(B155,'пр.взв.'!B7:H215,5,FALSE)</f>
        <v>#N/A</v>
      </c>
      <c r="G155" s="440"/>
      <c r="H155" s="460"/>
      <c r="I155" s="322"/>
      <c r="J155" s="274"/>
      <c r="K155" s="444">
        <v>4</v>
      </c>
      <c r="L155" s="461">
        <f>'пр.хода'!L63</f>
        <v>44</v>
      </c>
      <c r="M155" s="449" t="e">
        <f>VLOOKUP(L155,'пр.взв.'!B2:H215,2,FALSE)</f>
        <v>#N/A</v>
      </c>
      <c r="N155" s="424" t="e">
        <f>VLOOKUP(L155,'пр.взв.'!B2:H215,3,FALSE)</f>
        <v>#N/A</v>
      </c>
      <c r="O155" s="424" t="e">
        <f>VLOOKUP(M155,'пр.взв.'!C2:I215,3,FALSE)</f>
        <v>#N/A</v>
      </c>
      <c r="P155" s="424" t="e">
        <f>VLOOKUP(L155,'пр.взв.'!B7:H215,5,FALSE)</f>
        <v>#N/A</v>
      </c>
      <c r="Q155" s="459"/>
      <c r="R155" s="460"/>
      <c r="S155" s="322"/>
      <c r="T155" s="274"/>
    </row>
    <row r="156" spans="1:20" ht="12.75" hidden="1">
      <c r="A156" s="445"/>
      <c r="B156" s="448"/>
      <c r="C156" s="450"/>
      <c r="D156" s="425"/>
      <c r="E156" s="425"/>
      <c r="F156" s="425"/>
      <c r="G156" s="425"/>
      <c r="H156" s="425"/>
      <c r="I156" s="300"/>
      <c r="J156" s="282"/>
      <c r="K156" s="445"/>
      <c r="L156" s="448"/>
      <c r="M156" s="450"/>
      <c r="N156" s="425"/>
      <c r="O156" s="425"/>
      <c r="P156" s="425"/>
      <c r="Q156" s="425"/>
      <c r="R156" s="425"/>
      <c r="S156" s="300"/>
      <c r="T156" s="282"/>
    </row>
    <row r="157" spans="1:20" ht="12.75" hidden="1">
      <c r="A157" s="445"/>
      <c r="B157" s="451">
        <f>'пр.хода'!L17</f>
        <v>27</v>
      </c>
      <c r="C157" s="453" t="str">
        <f>VLOOKUP(B157,'пр.взв.'!B2:H630,2,FALSE)</f>
        <v>ГИБАДУЛЛИН Игорь Витальевич</v>
      </c>
      <c r="D157" s="422" t="str">
        <f>VLOOKUP(B157,'пр.взв.'!B2:H217,3,FALSE)</f>
        <v>27.03.84, МСМК</v>
      </c>
      <c r="E157" s="422" t="str">
        <f>VLOOKUP(C157,'пр.взв.'!C2:I217,3,FALSE)</f>
        <v>УФО</v>
      </c>
      <c r="F157" s="422" t="str">
        <f>VLOOKUP(B157,'пр.взв.'!B9:H217,5,FALSE)</f>
        <v>Свердловская, Екатеринбург, ПР</v>
      </c>
      <c r="G157" s="426"/>
      <c r="H157" s="426"/>
      <c r="I157" s="273"/>
      <c r="J157" s="273"/>
      <c r="K157" s="445"/>
      <c r="L157" s="451">
        <f>'пр.хода'!L66</f>
        <v>28</v>
      </c>
      <c r="M157" s="453" t="str">
        <f>VLOOKUP(L157,'пр.взв.'!B2:H217,2,FALSE)</f>
        <v>БОБИКОВ Роман Николаевич</v>
      </c>
      <c r="N157" s="422" t="str">
        <f>VLOOKUP(L157,'пр.взв.'!B2:H217,3,FALSE)</f>
        <v>08.12.89, МС</v>
      </c>
      <c r="O157" s="422" t="str">
        <f>VLOOKUP(M157,'пр.взв.'!C2:I217,3,FALSE)</f>
        <v>ЦФО</v>
      </c>
      <c r="P157" s="422" t="str">
        <f>VLOOKUP(L157,'пр.взв.'!B9:H217,5,FALSE)</f>
        <v>Тверская, Тверь, Д</v>
      </c>
      <c r="Q157" s="426"/>
      <c r="R157" s="426"/>
      <c r="S157" s="273"/>
      <c r="T157" s="273"/>
    </row>
    <row r="158" spans="1:20" ht="13.5" hidden="1" thickBot="1">
      <c r="A158" s="446"/>
      <c r="B158" s="452"/>
      <c r="C158" s="454"/>
      <c r="D158" s="423"/>
      <c r="E158" s="423"/>
      <c r="F158" s="423"/>
      <c r="G158" s="427"/>
      <c r="H158" s="427"/>
      <c r="I158" s="437"/>
      <c r="J158" s="437"/>
      <c r="K158" s="446"/>
      <c r="L158" s="452"/>
      <c r="M158" s="454"/>
      <c r="N158" s="423"/>
      <c r="O158" s="423"/>
      <c r="P158" s="423"/>
      <c r="Q158" s="427"/>
      <c r="R158" s="427"/>
      <c r="S158" s="437"/>
      <c r="T158" s="437"/>
    </row>
    <row r="159" spans="3:13" ht="13.5" hidden="1" thickBot="1">
      <c r="C159" s="50"/>
      <c r="M159" s="50"/>
    </row>
    <row r="160" spans="1:20" ht="12.75" hidden="1">
      <c r="A160" s="455">
        <v>5</v>
      </c>
      <c r="B160" s="447">
        <f>'пр.хода'!N8</f>
        <v>13</v>
      </c>
      <c r="C160" s="449" t="str">
        <f>VLOOKUP(B160,'пр.взв.'!B4:H633,2,FALSE)</f>
        <v>КОМЛЕВ Роман Олегович</v>
      </c>
      <c r="D160" s="424" t="str">
        <f>VLOOKUP(B160,'пр.взв.'!B4:H220,3,FALSE)</f>
        <v>15.09.89, МС</v>
      </c>
      <c r="E160" s="424" t="str">
        <f>VLOOKUP(C160,'пр.взв.'!C4:I220,3,FALSE)</f>
        <v>СФО</v>
      </c>
      <c r="F160" s="424" t="str">
        <f>VLOOKUP(B160,'пр.взв.'!B4:H220,5,FALSE)</f>
        <v>Кемеровская, Новокузнецк, МО</v>
      </c>
      <c r="G160" s="440"/>
      <c r="H160" s="428"/>
      <c r="I160" s="441"/>
      <c r="J160" s="434"/>
      <c r="K160" s="444">
        <v>7</v>
      </c>
      <c r="L160" s="447">
        <f>'пр.хода'!N57</f>
        <v>10</v>
      </c>
      <c r="M160" s="449" t="str">
        <f>VLOOKUP(L160,'пр.взв.'!B4:H220,2,FALSE)</f>
        <v>МЕРЕТУКОВ Заур Довлетбиевич</v>
      </c>
      <c r="N160" s="424" t="str">
        <f>VLOOKUP(L160,'пр.взв.'!B4:H220,3,FALSE)</f>
        <v>08.10.93, КМС</v>
      </c>
      <c r="O160" s="424" t="str">
        <f>VLOOKUP(M160,'пр.взв.'!C4:I220,3,FALSE)</f>
        <v>МОС</v>
      </c>
      <c r="P160" s="424" t="str">
        <f>VLOOKUP(L160,'пр.взв.'!B4:H220,5,FALSE)</f>
        <v>Москва</v>
      </c>
      <c r="Q160" s="440"/>
      <c r="R160" s="428"/>
      <c r="S160" s="441"/>
      <c r="T160" s="442"/>
    </row>
    <row r="161" spans="1:20" ht="12.75" hidden="1">
      <c r="A161" s="456"/>
      <c r="B161" s="448"/>
      <c r="C161" s="450"/>
      <c r="D161" s="425"/>
      <c r="E161" s="425"/>
      <c r="F161" s="425"/>
      <c r="G161" s="425"/>
      <c r="H161" s="425"/>
      <c r="I161" s="300"/>
      <c r="J161" s="282"/>
      <c r="K161" s="445"/>
      <c r="L161" s="448"/>
      <c r="M161" s="450"/>
      <c r="N161" s="425"/>
      <c r="O161" s="425"/>
      <c r="P161" s="425"/>
      <c r="Q161" s="425"/>
      <c r="R161" s="425"/>
      <c r="S161" s="300"/>
      <c r="T161" s="443"/>
    </row>
    <row r="162" spans="1:20" ht="12.75" hidden="1">
      <c r="A162" s="456"/>
      <c r="B162" s="451">
        <f>'пр.хода'!N11</f>
        <v>5</v>
      </c>
      <c r="C162" s="453" t="str">
        <f>VLOOKUP(B162,'пр.взв.'!B4:H635,2,FALSE)</f>
        <v>ГЕНИЯТОВ Глеб Эдуардович</v>
      </c>
      <c r="D162" s="422" t="str">
        <f>VLOOKUP(B162,'пр.взв.'!B4:H222,3,FALSE)</f>
        <v>29.04.85, МС</v>
      </c>
      <c r="E162" s="422" t="str">
        <f>VLOOKUP(C162,'пр.взв.'!C4:I222,3,FALSE)</f>
        <v>УФО</v>
      </c>
      <c r="F162" s="429" t="str">
        <f>VLOOKUP(B162,'пр.взв.'!B6:H222,5,FALSE)</f>
        <v>Свердловская, Екатеринбург, ПР</v>
      </c>
      <c r="G162" s="426"/>
      <c r="H162" s="426"/>
      <c r="I162" s="273"/>
      <c r="J162" s="273"/>
      <c r="K162" s="445"/>
      <c r="L162" s="451">
        <f>'пр.хода'!N60</f>
        <v>18</v>
      </c>
      <c r="M162" s="453" t="str">
        <f>VLOOKUP(L162,'пр.взв.'!B4:H222,2,FALSE)</f>
        <v>ХАПЦЕВ Артур Русланович</v>
      </c>
      <c r="N162" s="422" t="str">
        <f>VLOOKUP(L162,'пр.взв.'!B4:H222,3,FALSE)</f>
        <v>15.01.88, МС</v>
      </c>
      <c r="O162" s="422" t="str">
        <f>VLOOKUP(M162,'пр.взв.'!C4:I222,3,FALSE)</f>
        <v>УФО</v>
      </c>
      <c r="P162" s="429" t="str">
        <f>VLOOKUP(L162,'пр.взв.'!B6:H222,5,FALSE)</f>
        <v>Тюменская, Тюмень, Д</v>
      </c>
      <c r="Q162" s="426" t="s">
        <v>280</v>
      </c>
      <c r="R162" s="426"/>
      <c r="S162" s="273"/>
      <c r="T162" s="438"/>
    </row>
    <row r="163" spans="1:20" ht="13.5" hidden="1" thickBot="1">
      <c r="A163" s="457"/>
      <c r="B163" s="452"/>
      <c r="C163" s="454"/>
      <c r="D163" s="423"/>
      <c r="E163" s="423"/>
      <c r="F163" s="425"/>
      <c r="G163" s="427"/>
      <c r="H163" s="427"/>
      <c r="I163" s="437"/>
      <c r="J163" s="437"/>
      <c r="K163" s="446"/>
      <c r="L163" s="452"/>
      <c r="M163" s="454"/>
      <c r="N163" s="423"/>
      <c r="O163" s="423"/>
      <c r="P163" s="425"/>
      <c r="Q163" s="427"/>
      <c r="R163" s="427"/>
      <c r="S163" s="437"/>
      <c r="T163" s="439"/>
    </row>
    <row r="164" spans="1:20" ht="12.75" hidden="1">
      <c r="A164" s="456">
        <v>6</v>
      </c>
      <c r="B164" s="461">
        <f>'пр.хода'!N15</f>
        <v>27</v>
      </c>
      <c r="C164" s="449" t="str">
        <f>VLOOKUP(B164,'пр.взв.'!B4:H637,2,FALSE)</f>
        <v>ГИБАДУЛЛИН Игорь Витальевич</v>
      </c>
      <c r="D164" s="424" t="str">
        <f>VLOOKUP(B164,'пр.взв.'!B4:H224,3,FALSE)</f>
        <v>27.03.84, МСМК</v>
      </c>
      <c r="E164" s="424" t="str">
        <f>VLOOKUP(C164,'пр.взв.'!C4:I224,3,FALSE)</f>
        <v>УФО</v>
      </c>
      <c r="F164" s="424" t="str">
        <f>VLOOKUP(B164,'пр.взв.'!B8:H224,5,FALSE)</f>
        <v>Свердловская, Екатеринбург, ПР</v>
      </c>
      <c r="G164" s="440"/>
      <c r="H164" s="460"/>
      <c r="I164" s="322"/>
      <c r="J164" s="274"/>
      <c r="K164" s="445">
        <v>8</v>
      </c>
      <c r="L164" s="461">
        <f>'пр.хода'!N64</f>
        <v>28</v>
      </c>
      <c r="M164" s="449" t="str">
        <f>VLOOKUP(L164,'пр.взв.'!B4:H224,2,FALSE)</f>
        <v>БОБИКОВ Роман Николаевич</v>
      </c>
      <c r="N164" s="424" t="str">
        <f>VLOOKUP(L164,'пр.взв.'!B4:H224,3,FALSE)</f>
        <v>08.12.89, МС</v>
      </c>
      <c r="O164" s="424" t="str">
        <f>VLOOKUP(M164,'пр.взв.'!C4:I224,3,FALSE)</f>
        <v>ЦФО</v>
      </c>
      <c r="P164" s="424" t="str">
        <f>VLOOKUP(L164,'пр.взв.'!B8:H224,5,FALSE)</f>
        <v>Тверская, Тверь, Д</v>
      </c>
      <c r="Q164" s="459"/>
      <c r="R164" s="460"/>
      <c r="S164" s="322"/>
      <c r="T164" s="462"/>
    </row>
    <row r="165" spans="1:20" ht="13.5" hidden="1" thickBot="1">
      <c r="A165" s="456"/>
      <c r="B165" s="448"/>
      <c r="C165" s="450"/>
      <c r="D165" s="425"/>
      <c r="E165" s="425"/>
      <c r="F165" s="425"/>
      <c r="G165" s="425"/>
      <c r="H165" s="425"/>
      <c r="I165" s="300"/>
      <c r="J165" s="282"/>
      <c r="K165" s="445"/>
      <c r="L165" s="448"/>
      <c r="M165" s="450"/>
      <c r="N165" s="425"/>
      <c r="O165" s="425"/>
      <c r="P165" s="425"/>
      <c r="Q165" s="425"/>
      <c r="R165" s="425"/>
      <c r="S165" s="300"/>
      <c r="T165" s="443"/>
    </row>
    <row r="166" spans="1:20" ht="12.75" hidden="1">
      <c r="A166" s="456"/>
      <c r="B166" s="451">
        <f>'пр.хода'!N18</f>
        <v>3</v>
      </c>
      <c r="C166" s="453" t="str">
        <f>VLOOKUP(B166,'пр.взв.'!B4:H639,2,FALSE)</f>
        <v>МГОЕВ Джамал Алиевич</v>
      </c>
      <c r="D166" s="422" t="str">
        <f>VLOOKUP(B166,'пр.взв.'!B4:H226,3,FALSE)</f>
        <v>23.07.95, КМС</v>
      </c>
      <c r="E166" s="422" t="str">
        <f>VLOOKUP(C166,'пр.взв.'!C4:I226,3,FALSE)</f>
        <v>ЮФО</v>
      </c>
      <c r="F166" s="422" t="str">
        <f>VLOOKUP(B166,'пр.взв.'!B10:H226,5,FALSE)</f>
        <v>Краснодарский, Краснодар Д</v>
      </c>
      <c r="G166" s="426"/>
      <c r="H166" s="426"/>
      <c r="I166" s="273"/>
      <c r="J166" s="273"/>
      <c r="K166" s="445"/>
      <c r="L166" s="451">
        <f>'пр.хода'!N67</f>
        <v>4</v>
      </c>
      <c r="M166" s="453" t="str">
        <f>VLOOKUP(L166,'пр.взв.'!B4:H226,2,FALSE)</f>
        <v>ШИРЯЕВ Максим Сергеевич</v>
      </c>
      <c r="N166" s="422" t="str">
        <f>VLOOKUP(L166,'пр.взв.'!B4:H226,3,FALSE)</f>
        <v>18.03.88, МСМК</v>
      </c>
      <c r="O166" s="422" t="str">
        <f>VLOOKUP(M166,'пр.взв.'!C4:I226,3,FALSE)</f>
        <v>МОС</v>
      </c>
      <c r="P166" s="424" t="str">
        <f>VLOOKUP(L166,'пр.взв.'!B10:H226,5,FALSE)</f>
        <v>Москва, ВС</v>
      </c>
      <c r="Q166" s="426"/>
      <c r="R166" s="426"/>
      <c r="S166" s="273"/>
      <c r="T166" s="438"/>
    </row>
    <row r="167" spans="1:20" ht="13.5" hidden="1" thickBot="1">
      <c r="A167" s="457"/>
      <c r="B167" s="452"/>
      <c r="C167" s="454"/>
      <c r="D167" s="423"/>
      <c r="E167" s="423"/>
      <c r="F167" s="423"/>
      <c r="G167" s="427"/>
      <c r="H167" s="427"/>
      <c r="I167" s="437"/>
      <c r="J167" s="437"/>
      <c r="K167" s="446"/>
      <c r="L167" s="452"/>
      <c r="M167" s="454"/>
      <c r="N167" s="423"/>
      <c r="O167" s="423"/>
      <c r="P167" s="423"/>
      <c r="Q167" s="427"/>
      <c r="R167" s="427"/>
      <c r="S167" s="437"/>
      <c r="T167" s="439"/>
    </row>
    <row r="168" spans="1:20" ht="13.5" hidden="1" thickBot="1">
      <c r="A168" s="104"/>
      <c r="B168" s="104"/>
      <c r="C168" s="105"/>
      <c r="D168" s="104"/>
      <c r="E168" s="104"/>
      <c r="F168" s="104"/>
      <c r="G168" s="104"/>
      <c r="H168" s="104"/>
      <c r="I168" s="104"/>
      <c r="J168" s="104"/>
      <c r="K168" s="104"/>
      <c r="L168" s="104"/>
      <c r="M168" s="105"/>
      <c r="N168" s="104"/>
      <c r="O168" s="104"/>
      <c r="P168" s="104"/>
      <c r="Q168" s="104"/>
      <c r="R168" s="104"/>
      <c r="S168" s="104"/>
      <c r="T168" s="104"/>
    </row>
    <row r="169" spans="1:20" ht="12.75" hidden="1">
      <c r="A169" s="445">
        <v>9</v>
      </c>
      <c r="B169" s="461">
        <f>'пр.хода'!O10</f>
        <v>5</v>
      </c>
      <c r="C169" s="458" t="str">
        <f>VLOOKUP(B169,'пр.взв.'!B5:H642,2,FALSE)</f>
        <v>ГЕНИЯТОВ Глеб Эдуардович</v>
      </c>
      <c r="D169" s="429" t="str">
        <f>VLOOKUP(B169,'пр.взв.'!B5:H229,3,FALSE)</f>
        <v>29.04.85, МС</v>
      </c>
      <c r="E169" s="429" t="str">
        <f>VLOOKUP(C169,'пр.взв.'!C5:I229,3,FALSE)</f>
        <v>УФО</v>
      </c>
      <c r="F169" s="429" t="str">
        <f>VLOOKUP(B169,'пр.взв.'!B5:H229,5,FALSE)</f>
        <v>Свердловская, Екатеринбург, ПР</v>
      </c>
      <c r="G169" s="459"/>
      <c r="H169" s="460"/>
      <c r="I169" s="322"/>
      <c r="J169" s="274"/>
      <c r="K169" s="445">
        <v>11</v>
      </c>
      <c r="L169" s="461">
        <f>'пр.хода'!O59</f>
        <v>10</v>
      </c>
      <c r="M169" s="458" t="str">
        <f>VLOOKUP(L169,'пр.взв.'!B5:H229,2,FALSE)</f>
        <v>МЕРЕТУКОВ Заур Довлетбиевич</v>
      </c>
      <c r="N169" s="429" t="str">
        <f>VLOOKUP(L169,'пр.взв.'!B5:H229,3,FALSE)</f>
        <v>08.10.93, КМС</v>
      </c>
      <c r="O169" s="429" t="str">
        <f>VLOOKUP(M169,'пр.взв.'!C5:I229,3,FALSE)</f>
        <v>МОС</v>
      </c>
      <c r="P169" s="429" t="str">
        <f>VLOOKUP(L169,'пр.взв.'!B5:H229,5,FALSE)</f>
        <v>Москва</v>
      </c>
      <c r="Q169" s="459"/>
      <c r="R169" s="460"/>
      <c r="S169" s="322"/>
      <c r="T169" s="274"/>
    </row>
    <row r="170" spans="1:20" ht="12.75" hidden="1">
      <c r="A170" s="445"/>
      <c r="B170" s="448"/>
      <c r="C170" s="450"/>
      <c r="D170" s="425"/>
      <c r="E170" s="425"/>
      <c r="F170" s="425"/>
      <c r="G170" s="425"/>
      <c r="H170" s="425"/>
      <c r="I170" s="300"/>
      <c r="J170" s="282"/>
      <c r="K170" s="445"/>
      <c r="L170" s="448"/>
      <c r="M170" s="450"/>
      <c r="N170" s="425"/>
      <c r="O170" s="425"/>
      <c r="P170" s="425"/>
      <c r="Q170" s="425"/>
      <c r="R170" s="425"/>
      <c r="S170" s="300"/>
      <c r="T170" s="282"/>
    </row>
    <row r="171" spans="1:20" ht="12.75" hidden="1">
      <c r="A171" s="445"/>
      <c r="B171" s="451">
        <f>'пр.хода'!O13</f>
        <v>17</v>
      </c>
      <c r="C171" s="453" t="str">
        <f>VLOOKUP(B171,'пр.взв.'!B5:H644,2,FALSE)</f>
        <v>САРИБЕКЯН Павел Андреевич</v>
      </c>
      <c r="D171" s="422" t="str">
        <f>VLOOKUP(B171,'пр.взв.'!B5:H231,3,FALSE)</f>
        <v>13.07.92, МС</v>
      </c>
      <c r="E171" s="422" t="str">
        <f>VLOOKUP(C171,'пр.взв.'!C5:I231,3,FALSE)</f>
        <v>ЮФО</v>
      </c>
      <c r="F171" s="422" t="str">
        <f>VLOOKUP(B171,'пр.взв.'!B7:H231,5,FALSE)</f>
        <v>Краснодарский край Курганинск, Д</v>
      </c>
      <c r="G171" s="426"/>
      <c r="H171" s="426"/>
      <c r="I171" s="273"/>
      <c r="J171" s="273"/>
      <c r="K171" s="445"/>
      <c r="L171" s="451">
        <f>'пр.хода'!O62</f>
        <v>6</v>
      </c>
      <c r="M171" s="453" t="str">
        <f>VLOOKUP(L171,'пр.взв.'!B5:H231,2,FALSE)</f>
        <v>КУЧУМОВ Александр Николаевич</v>
      </c>
      <c r="N171" s="422" t="str">
        <f>VLOOKUP(L171,'пр.взв.'!B5:H231,3,FALSE)</f>
        <v>06.11.90, мсмк</v>
      </c>
      <c r="O171" s="422" t="str">
        <f>VLOOKUP(M171,'пр.взв.'!C5:I231,3,FALSE)</f>
        <v>МОС</v>
      </c>
      <c r="P171" s="422" t="str">
        <f>VLOOKUP(L171,'пр.взв.'!B7:H231,5,FALSE)</f>
        <v>г. Москва, Д</v>
      </c>
      <c r="Q171" s="426"/>
      <c r="R171" s="426"/>
      <c r="S171" s="273"/>
      <c r="T171" s="273"/>
    </row>
    <row r="172" spans="1:20" ht="13.5" hidden="1" thickBot="1">
      <c r="A172" s="446"/>
      <c r="B172" s="452"/>
      <c r="C172" s="454"/>
      <c r="D172" s="423"/>
      <c r="E172" s="423"/>
      <c r="F172" s="423"/>
      <c r="G172" s="427"/>
      <c r="H172" s="427"/>
      <c r="I172" s="437"/>
      <c r="J172" s="437"/>
      <c r="K172" s="446"/>
      <c r="L172" s="452"/>
      <c r="M172" s="454"/>
      <c r="N172" s="423"/>
      <c r="O172" s="423"/>
      <c r="P172" s="423"/>
      <c r="Q172" s="427"/>
      <c r="R172" s="427"/>
      <c r="S172" s="437"/>
      <c r="T172" s="437"/>
    </row>
    <row r="173" spans="1:20" ht="12.75" hidden="1">
      <c r="A173" s="444">
        <v>10</v>
      </c>
      <c r="B173" s="447">
        <f>'пр.хода'!O17</f>
        <v>3</v>
      </c>
      <c r="C173" s="449" t="str">
        <f>VLOOKUP(B173,'пр.взв.'!B5:H646,2,FALSE)</f>
        <v>МГОЕВ Джамал Алиевич</v>
      </c>
      <c r="D173" s="424" t="str">
        <f>VLOOKUP(B173,'пр.взв.'!B5:H233,3,FALSE)</f>
        <v>23.07.95, КМС</v>
      </c>
      <c r="E173" s="424" t="str">
        <f>VLOOKUP(C173,'пр.взв.'!C5:I233,3,FALSE)</f>
        <v>ЮФО</v>
      </c>
      <c r="F173" s="424" t="str">
        <f>VLOOKUP(B173,'пр.взв.'!B9:H233,5,FALSE)</f>
        <v>Краснодарский, Краснодар Д</v>
      </c>
      <c r="G173" s="440"/>
      <c r="H173" s="428"/>
      <c r="I173" s="441"/>
      <c r="J173" s="434"/>
      <c r="K173" s="444">
        <v>12</v>
      </c>
      <c r="L173" s="447">
        <f>'пр.хода'!O66</f>
        <v>4</v>
      </c>
      <c r="M173" s="449" t="str">
        <f>VLOOKUP(L173,'пр.взв.'!B5:H233,2,FALSE)</f>
        <v>ШИРЯЕВ Максим Сергеевич</v>
      </c>
      <c r="N173" s="424" t="str">
        <f>VLOOKUP(L173,'пр.взв.'!B5:H233,3,FALSE)</f>
        <v>18.03.88, МСМК</v>
      </c>
      <c r="O173" s="424" t="str">
        <f>VLOOKUP(M173,'пр.взв.'!C5:I233,3,FALSE)</f>
        <v>МОС</v>
      </c>
      <c r="P173" s="429" t="str">
        <f>VLOOKUP(L173,'пр.взв.'!B9:H233,5,FALSE)</f>
        <v>Москва, ВС</v>
      </c>
      <c r="Q173" s="440"/>
      <c r="R173" s="428"/>
      <c r="S173" s="441"/>
      <c r="T173" s="434"/>
    </row>
    <row r="174" spans="1:20" ht="12.75" hidden="1">
      <c r="A174" s="445"/>
      <c r="B174" s="448"/>
      <c r="C174" s="450"/>
      <c r="D174" s="425"/>
      <c r="E174" s="425"/>
      <c r="F174" s="425"/>
      <c r="G174" s="425"/>
      <c r="H174" s="425"/>
      <c r="I174" s="300"/>
      <c r="J174" s="282"/>
      <c r="K174" s="445"/>
      <c r="L174" s="448"/>
      <c r="M174" s="450"/>
      <c r="N174" s="425"/>
      <c r="O174" s="425"/>
      <c r="P174" s="425"/>
      <c r="Q174" s="425"/>
      <c r="R174" s="425"/>
      <c r="S174" s="300"/>
      <c r="T174" s="282"/>
    </row>
    <row r="175" spans="1:20" ht="12.75" hidden="1">
      <c r="A175" s="445"/>
      <c r="B175" s="451">
        <f>'пр.хода'!O20</f>
        <v>15</v>
      </c>
      <c r="C175" s="453" t="str">
        <f>VLOOKUP(B175,'пр.взв.'!B5:H648,2,FALSE)</f>
        <v>ХОРПЯКОВ Олег Вячеславович</v>
      </c>
      <c r="D175" s="422" t="str">
        <f>VLOOKUP(B175,'пр.взв.'!B5:H235,3,FALSE)</f>
        <v>28.02.77, МСМК</v>
      </c>
      <c r="E175" s="422" t="str">
        <f>VLOOKUP(C175,'пр.взв.'!C5:I235,3,FALSE)</f>
        <v>МОС</v>
      </c>
      <c r="F175" s="429" t="str">
        <f>VLOOKUP(B175,'пр.взв.'!B11:H235,5,FALSE)</f>
        <v>Москва, Д</v>
      </c>
      <c r="G175" s="426"/>
      <c r="H175" s="426"/>
      <c r="I175" s="273"/>
      <c r="J175" s="273"/>
      <c r="K175" s="445"/>
      <c r="L175" s="451">
        <f>'пр.хода'!O69</f>
        <v>24</v>
      </c>
      <c r="M175" s="453" t="str">
        <f>VLOOKUP(L175,'пр.взв.'!B5:H235,2,FALSE)</f>
        <v>СТАРКОВ Михаил Александрович</v>
      </c>
      <c r="N175" s="422" t="str">
        <f>VLOOKUP(L175,'пр.взв.'!B5:H235,3,FALSE)</f>
        <v>13.07.77, МСМК</v>
      </c>
      <c r="O175" s="422" t="str">
        <f>VLOOKUP(M175,'пр.взв.'!C5:I235,3,FALSE)</f>
        <v>УФО</v>
      </c>
      <c r="P175" s="422" t="str">
        <f>VLOOKUP(L175,'пр.взв.'!B11:H235,5,FALSE)</f>
        <v>Свердловская, Екатеринбург, Д</v>
      </c>
      <c r="Q175" s="426"/>
      <c r="R175" s="426"/>
      <c r="S175" s="273"/>
      <c r="T175" s="273"/>
    </row>
    <row r="176" spans="1:20" ht="13.5" hidden="1" thickBot="1">
      <c r="A176" s="446"/>
      <c r="B176" s="452"/>
      <c r="C176" s="454"/>
      <c r="D176" s="423"/>
      <c r="E176" s="423"/>
      <c r="F176" s="423"/>
      <c r="G176" s="427"/>
      <c r="H176" s="427"/>
      <c r="I176" s="437"/>
      <c r="J176" s="437"/>
      <c r="K176" s="446"/>
      <c r="L176" s="452"/>
      <c r="M176" s="454"/>
      <c r="N176" s="423"/>
      <c r="O176" s="423"/>
      <c r="P176" s="423"/>
      <c r="Q176" s="427"/>
      <c r="R176" s="427"/>
      <c r="S176" s="437"/>
      <c r="T176" s="437"/>
    </row>
    <row r="177" spans="3:13" ht="13.5" thickBot="1">
      <c r="C177" s="50"/>
      <c r="M177" s="50"/>
    </row>
    <row r="178" spans="1:20" ht="12.75">
      <c r="A178" s="455">
        <v>13</v>
      </c>
      <c r="B178" s="447">
        <f>'пр.хода'!P12</f>
        <v>5</v>
      </c>
      <c r="C178" s="449" t="str">
        <f>VLOOKUP(B178,'пр.взв.'!B6:H651,2,FALSE)</f>
        <v>ГЕНИЯТОВ Глеб Эдуардович</v>
      </c>
      <c r="D178" s="424" t="str">
        <f>VLOOKUP(B178,'пр.взв.'!B6:H238,3,FALSE)</f>
        <v>29.04.85, МС</v>
      </c>
      <c r="E178" s="424" t="str">
        <f>VLOOKUP(C178,'пр.взв.'!C6:I238,3,FALSE)</f>
        <v>УФО</v>
      </c>
      <c r="F178" s="424" t="str">
        <f>VLOOKUP(B178,'пр.взв.'!B6:H238,5,FALSE)</f>
        <v>Свердловская, Екатеринбург, ПР</v>
      </c>
      <c r="G178" s="440"/>
      <c r="H178" s="428"/>
      <c r="I178" s="441"/>
      <c r="J178" s="434"/>
      <c r="K178" s="444">
        <v>14</v>
      </c>
      <c r="L178" s="447">
        <f>'пр.хода'!P61</f>
        <v>6</v>
      </c>
      <c r="M178" s="449" t="str">
        <f>VLOOKUP(L178,'пр.взв.'!B6:H238,2,FALSE)</f>
        <v>КУЧУМОВ Александр Николаевич</v>
      </c>
      <c r="N178" s="424" t="str">
        <f>VLOOKUP(L178,'пр.взв.'!B6:H238,3,FALSE)</f>
        <v>06.11.90, мсмк</v>
      </c>
      <c r="O178" s="424" t="str">
        <f>VLOOKUP(M178,'пр.взв.'!C6:I238,3,FALSE)</f>
        <v>МОС</v>
      </c>
      <c r="P178" s="424" t="str">
        <f>VLOOKUP(L178,'пр.взв.'!B6:H238,5,FALSE)</f>
        <v>г. Москва, Д</v>
      </c>
      <c r="Q178" s="440"/>
      <c r="R178" s="428"/>
      <c r="S178" s="441"/>
      <c r="T178" s="442"/>
    </row>
    <row r="179" spans="1:20" ht="12.75">
      <c r="A179" s="456"/>
      <c r="B179" s="448"/>
      <c r="C179" s="450"/>
      <c r="D179" s="425"/>
      <c r="E179" s="425"/>
      <c r="F179" s="425"/>
      <c r="G179" s="425"/>
      <c r="H179" s="425"/>
      <c r="I179" s="300"/>
      <c r="J179" s="282"/>
      <c r="K179" s="445"/>
      <c r="L179" s="448"/>
      <c r="M179" s="450"/>
      <c r="N179" s="425"/>
      <c r="O179" s="425"/>
      <c r="P179" s="425"/>
      <c r="Q179" s="425"/>
      <c r="R179" s="425"/>
      <c r="S179" s="300"/>
      <c r="T179" s="443"/>
    </row>
    <row r="180" spans="1:20" ht="12.75">
      <c r="A180" s="456"/>
      <c r="B180" s="451">
        <f>'пр.хода'!P19</f>
        <v>15</v>
      </c>
      <c r="C180" s="453" t="str">
        <f>VLOOKUP(B180,'пр.взв.'!B6:H653,2,FALSE)</f>
        <v>ХОРПЯКОВ Олег Вячеславович</v>
      </c>
      <c r="D180" s="422" t="str">
        <f>VLOOKUP(B180,'пр.взв.'!B6:H240,3,FALSE)</f>
        <v>28.02.77, МСМК</v>
      </c>
      <c r="E180" s="422" t="str">
        <f>VLOOKUP(C180,'пр.взв.'!C6:I240,3,FALSE)</f>
        <v>МОС</v>
      </c>
      <c r="F180" s="422" t="str">
        <f>VLOOKUP(B180,'пр.взв.'!B6:H240,5,FALSE)</f>
        <v>Москва, Д</v>
      </c>
      <c r="G180" s="426"/>
      <c r="H180" s="426"/>
      <c r="I180" s="273"/>
      <c r="J180" s="273"/>
      <c r="K180" s="445"/>
      <c r="L180" s="451">
        <f>'пр.хода'!P68</f>
        <v>4</v>
      </c>
      <c r="M180" s="453" t="str">
        <f>VLOOKUP(L180,'пр.взв.'!B6:H240,2,FALSE)</f>
        <v>ШИРЯЕВ Максим Сергеевич</v>
      </c>
      <c r="N180" s="422" t="str">
        <f>VLOOKUP(L180,'пр.взв.'!B6:H240,3,FALSE)</f>
        <v>18.03.88, МСМК</v>
      </c>
      <c r="O180" s="422" t="str">
        <f>VLOOKUP(M180,'пр.взв.'!C6:I240,3,FALSE)</f>
        <v>МОС</v>
      </c>
      <c r="P180" s="422" t="str">
        <f>VLOOKUP(L180,'пр.взв.'!B6:H240,5,FALSE)</f>
        <v>Москва, ВС</v>
      </c>
      <c r="Q180" s="426"/>
      <c r="R180" s="426"/>
      <c r="S180" s="273"/>
      <c r="T180" s="438"/>
    </row>
    <row r="181" spans="1:20" ht="13.5" thickBot="1">
      <c r="A181" s="457"/>
      <c r="B181" s="452"/>
      <c r="C181" s="454"/>
      <c r="D181" s="423"/>
      <c r="E181" s="423"/>
      <c r="F181" s="423"/>
      <c r="G181" s="427"/>
      <c r="H181" s="427"/>
      <c r="I181" s="437"/>
      <c r="J181" s="437"/>
      <c r="K181" s="446"/>
      <c r="L181" s="452"/>
      <c r="M181" s="454"/>
      <c r="N181" s="423"/>
      <c r="O181" s="423"/>
      <c r="P181" s="423"/>
      <c r="Q181" s="427"/>
      <c r="R181" s="427"/>
      <c r="S181" s="437"/>
      <c r="T181" s="439"/>
    </row>
  </sheetData>
  <sheetProtection/>
  <mergeCells count="1558">
    <mergeCell ref="S98:S99"/>
    <mergeCell ref="T98:T99"/>
    <mergeCell ref="B100:B101"/>
    <mergeCell ref="C100:C101"/>
    <mergeCell ref="D100:D101"/>
    <mergeCell ref="F100:F101"/>
    <mergeCell ref="G100:G101"/>
    <mergeCell ref="H100:H101"/>
    <mergeCell ref="I100:I101"/>
    <mergeCell ref="J100:J101"/>
    <mergeCell ref="J98:J99"/>
    <mergeCell ref="K98:K101"/>
    <mergeCell ref="L98:L99"/>
    <mergeCell ref="M98:M99"/>
    <mergeCell ref="L100:L101"/>
    <mergeCell ref="M100:M101"/>
    <mergeCell ref="S96:S97"/>
    <mergeCell ref="T96:T97"/>
    <mergeCell ref="A98:A101"/>
    <mergeCell ref="B98:B99"/>
    <mergeCell ref="C98:C99"/>
    <mergeCell ref="D98:D99"/>
    <mergeCell ref="F98:F99"/>
    <mergeCell ref="G98:G99"/>
    <mergeCell ref="H98:H99"/>
    <mergeCell ref="I98:I99"/>
    <mergeCell ref="S94:S95"/>
    <mergeCell ref="T94:T95"/>
    <mergeCell ref="B96:B97"/>
    <mergeCell ref="C96:C97"/>
    <mergeCell ref="D96:D97"/>
    <mergeCell ref="F96:F97"/>
    <mergeCell ref="G96:G97"/>
    <mergeCell ref="H96:H97"/>
    <mergeCell ref="I96:I97"/>
    <mergeCell ref="J96:J97"/>
    <mergeCell ref="S92:S93"/>
    <mergeCell ref="T92:T93"/>
    <mergeCell ref="A94:A97"/>
    <mergeCell ref="B94:B95"/>
    <mergeCell ref="C94:C95"/>
    <mergeCell ref="D94:D95"/>
    <mergeCell ref="F94:F95"/>
    <mergeCell ref="G94:G95"/>
    <mergeCell ref="H94:H95"/>
    <mergeCell ref="I94:I95"/>
    <mergeCell ref="A90:A93"/>
    <mergeCell ref="K90:K93"/>
    <mergeCell ref="B92:B93"/>
    <mergeCell ref="C92:C93"/>
    <mergeCell ref="D92:D93"/>
    <mergeCell ref="F92:F93"/>
    <mergeCell ref="G92:G93"/>
    <mergeCell ref="H92:H93"/>
    <mergeCell ref="I92:I93"/>
    <mergeCell ref="J92:J93"/>
    <mergeCell ref="T80:T81"/>
    <mergeCell ref="A82:A85"/>
    <mergeCell ref="K82:K85"/>
    <mergeCell ref="A86:A89"/>
    <mergeCell ref="K86:K89"/>
    <mergeCell ref="P80:P81"/>
    <mergeCell ref="Q80:Q81"/>
    <mergeCell ref="R80:R81"/>
    <mergeCell ref="S80:S81"/>
    <mergeCell ref="J80:J81"/>
    <mergeCell ref="I80:I81"/>
    <mergeCell ref="K78:K81"/>
    <mergeCell ref="L80:L81"/>
    <mergeCell ref="M80:M81"/>
    <mergeCell ref="N80:N81"/>
    <mergeCell ref="R78:R79"/>
    <mergeCell ref="L78:L79"/>
    <mergeCell ref="M78:M79"/>
    <mergeCell ref="N78:N79"/>
    <mergeCell ref="H78:H79"/>
    <mergeCell ref="I78:I79"/>
    <mergeCell ref="S78:S79"/>
    <mergeCell ref="T78:T79"/>
    <mergeCell ref="B80:B81"/>
    <mergeCell ref="C80:C81"/>
    <mergeCell ref="D80:D81"/>
    <mergeCell ref="F80:F81"/>
    <mergeCell ref="G80:G81"/>
    <mergeCell ref="H80:H81"/>
    <mergeCell ref="I76:I77"/>
    <mergeCell ref="J76:J77"/>
    <mergeCell ref="S76:S77"/>
    <mergeCell ref="T76:T77"/>
    <mergeCell ref="A78:A81"/>
    <mergeCell ref="B78:B79"/>
    <mergeCell ref="C78:C79"/>
    <mergeCell ref="D78:D79"/>
    <mergeCell ref="F78:F79"/>
    <mergeCell ref="G78:G79"/>
    <mergeCell ref="H74:H75"/>
    <mergeCell ref="I74:I75"/>
    <mergeCell ref="S74:S75"/>
    <mergeCell ref="T74:T75"/>
    <mergeCell ref="B76:B77"/>
    <mergeCell ref="C76:C77"/>
    <mergeCell ref="D76:D77"/>
    <mergeCell ref="F76:F77"/>
    <mergeCell ref="G76:G77"/>
    <mergeCell ref="H76:H77"/>
    <mergeCell ref="A74:A77"/>
    <mergeCell ref="B74:B75"/>
    <mergeCell ref="C74:C75"/>
    <mergeCell ref="D74:D75"/>
    <mergeCell ref="F74:F75"/>
    <mergeCell ref="G74:G75"/>
    <mergeCell ref="T58:T59"/>
    <mergeCell ref="A72:A73"/>
    <mergeCell ref="B72:B73"/>
    <mergeCell ref="C72:C73"/>
    <mergeCell ref="D72:D73"/>
    <mergeCell ref="G72:G73"/>
    <mergeCell ref="H72:H73"/>
    <mergeCell ref="I72:I73"/>
    <mergeCell ref="S72:S73"/>
    <mergeCell ref="T72:T73"/>
    <mergeCell ref="T38:T39"/>
    <mergeCell ref="A58:A61"/>
    <mergeCell ref="B58:B59"/>
    <mergeCell ref="C58:C59"/>
    <mergeCell ref="D58:D59"/>
    <mergeCell ref="F58:F59"/>
    <mergeCell ref="G58:G59"/>
    <mergeCell ref="H58:H59"/>
    <mergeCell ref="N58:N59"/>
    <mergeCell ref="P58:P59"/>
    <mergeCell ref="J40:J41"/>
    <mergeCell ref="L40:L41"/>
    <mergeCell ref="M40:M41"/>
    <mergeCell ref="I38:I39"/>
    <mergeCell ref="M60:M61"/>
    <mergeCell ref="S38:S39"/>
    <mergeCell ref="Q58:Q59"/>
    <mergeCell ref="R58:R59"/>
    <mergeCell ref="J58:J59"/>
    <mergeCell ref="K58:K61"/>
    <mergeCell ref="S104:S105"/>
    <mergeCell ref="T104:T105"/>
    <mergeCell ref="S102:S103"/>
    <mergeCell ref="T102:T103"/>
    <mergeCell ref="N98:N99"/>
    <mergeCell ref="P98:P99"/>
    <mergeCell ref="Q100:Q101"/>
    <mergeCell ref="R100:R101"/>
    <mergeCell ref="S100:S101"/>
    <mergeCell ref="T100:T101"/>
    <mergeCell ref="D40:D41"/>
    <mergeCell ref="F40:F41"/>
    <mergeCell ref="J38:J39"/>
    <mergeCell ref="K38:K41"/>
    <mergeCell ref="L38:L39"/>
    <mergeCell ref="R104:R105"/>
    <mergeCell ref="I58:I59"/>
    <mergeCell ref="N38:N39"/>
    <mergeCell ref="P38:P39"/>
    <mergeCell ref="Q38:Q39"/>
    <mergeCell ref="N96:N97"/>
    <mergeCell ref="P96:P97"/>
    <mergeCell ref="A38:A41"/>
    <mergeCell ref="B38:B39"/>
    <mergeCell ref="C38:C39"/>
    <mergeCell ref="D38:D39"/>
    <mergeCell ref="F38:F39"/>
    <mergeCell ref="G38:G39"/>
    <mergeCell ref="B40:B41"/>
    <mergeCell ref="C40:C41"/>
    <mergeCell ref="P104:P105"/>
    <mergeCell ref="Q104:Q105"/>
    <mergeCell ref="L104:L105"/>
    <mergeCell ref="M104:M105"/>
    <mergeCell ref="N100:N101"/>
    <mergeCell ref="P100:P101"/>
    <mergeCell ref="G104:G105"/>
    <mergeCell ref="H104:H105"/>
    <mergeCell ref="I104:I105"/>
    <mergeCell ref="J104:J105"/>
    <mergeCell ref="Q102:Q103"/>
    <mergeCell ref="R102:R103"/>
    <mergeCell ref="N102:N103"/>
    <mergeCell ref="P102:P103"/>
    <mergeCell ref="M102:M103"/>
    <mergeCell ref="N104:N105"/>
    <mergeCell ref="A102:A105"/>
    <mergeCell ref="B102:B103"/>
    <mergeCell ref="C102:C103"/>
    <mergeCell ref="D102:D103"/>
    <mergeCell ref="B104:B105"/>
    <mergeCell ref="C104:C105"/>
    <mergeCell ref="D104:D105"/>
    <mergeCell ref="F104:F105"/>
    <mergeCell ref="Q98:Q99"/>
    <mergeCell ref="R98:R99"/>
    <mergeCell ref="F102:F103"/>
    <mergeCell ref="G102:G103"/>
    <mergeCell ref="H102:H103"/>
    <mergeCell ref="I102:I103"/>
    <mergeCell ref="J102:J103"/>
    <mergeCell ref="K102:K105"/>
    <mergeCell ref="L102:L103"/>
    <mergeCell ref="Q96:Q97"/>
    <mergeCell ref="R96:R97"/>
    <mergeCell ref="K94:K97"/>
    <mergeCell ref="L94:L95"/>
    <mergeCell ref="M94:M95"/>
    <mergeCell ref="L96:L97"/>
    <mergeCell ref="N94:N95"/>
    <mergeCell ref="P94:P95"/>
    <mergeCell ref="Q94:Q95"/>
    <mergeCell ref="R94:R95"/>
    <mergeCell ref="N92:N93"/>
    <mergeCell ref="P92:P93"/>
    <mergeCell ref="Q92:Q93"/>
    <mergeCell ref="R92:R93"/>
    <mergeCell ref="L92:L93"/>
    <mergeCell ref="M92:M93"/>
    <mergeCell ref="J94:J95"/>
    <mergeCell ref="M96:M97"/>
    <mergeCell ref="S90:S91"/>
    <mergeCell ref="T90:T91"/>
    <mergeCell ref="N90:N91"/>
    <mergeCell ref="P90:P91"/>
    <mergeCell ref="Q90:Q91"/>
    <mergeCell ref="R90:R91"/>
    <mergeCell ref="L90:L91"/>
    <mergeCell ref="M90:M91"/>
    <mergeCell ref="S88:S89"/>
    <mergeCell ref="T88:T89"/>
    <mergeCell ref="B90:B91"/>
    <mergeCell ref="C90:C91"/>
    <mergeCell ref="D90:D91"/>
    <mergeCell ref="F90:F91"/>
    <mergeCell ref="G90:G91"/>
    <mergeCell ref="H90:H91"/>
    <mergeCell ref="I90:I91"/>
    <mergeCell ref="J90:J91"/>
    <mergeCell ref="N88:N89"/>
    <mergeCell ref="P88:P89"/>
    <mergeCell ref="Q88:Q89"/>
    <mergeCell ref="R88:R89"/>
    <mergeCell ref="L88:L89"/>
    <mergeCell ref="M88:M89"/>
    <mergeCell ref="T86:T87"/>
    <mergeCell ref="B88:B89"/>
    <mergeCell ref="C88:C89"/>
    <mergeCell ref="D88:D89"/>
    <mergeCell ref="F88:F89"/>
    <mergeCell ref="G88:G89"/>
    <mergeCell ref="H88:H89"/>
    <mergeCell ref="I88:I89"/>
    <mergeCell ref="N86:N87"/>
    <mergeCell ref="J88:J89"/>
    <mergeCell ref="P86:P87"/>
    <mergeCell ref="Q86:Q87"/>
    <mergeCell ref="R86:R87"/>
    <mergeCell ref="S84:S85"/>
    <mergeCell ref="P84:P85"/>
    <mergeCell ref="Q84:Q85"/>
    <mergeCell ref="R84:R85"/>
    <mergeCell ref="S86:S87"/>
    <mergeCell ref="T84:T85"/>
    <mergeCell ref="B86:B87"/>
    <mergeCell ref="C86:C87"/>
    <mergeCell ref="D86:D87"/>
    <mergeCell ref="F86:F87"/>
    <mergeCell ref="G86:G87"/>
    <mergeCell ref="H86:H87"/>
    <mergeCell ref="I86:I87"/>
    <mergeCell ref="J86:J87"/>
    <mergeCell ref="N84:N85"/>
    <mergeCell ref="J84:J85"/>
    <mergeCell ref="L84:L85"/>
    <mergeCell ref="M84:M85"/>
    <mergeCell ref="L86:L87"/>
    <mergeCell ref="M86:M87"/>
    <mergeCell ref="S82:S83"/>
    <mergeCell ref="Q82:Q83"/>
    <mergeCell ref="R82:R83"/>
    <mergeCell ref="J82:J83"/>
    <mergeCell ref="L82:L83"/>
    <mergeCell ref="T82:T83"/>
    <mergeCell ref="B84:B85"/>
    <mergeCell ref="C84:C85"/>
    <mergeCell ref="D84:D85"/>
    <mergeCell ref="F84:F85"/>
    <mergeCell ref="G84:G85"/>
    <mergeCell ref="H84:H85"/>
    <mergeCell ref="I84:I85"/>
    <mergeCell ref="N82:N83"/>
    <mergeCell ref="P82:P83"/>
    <mergeCell ref="M82:M83"/>
    <mergeCell ref="B82:B83"/>
    <mergeCell ref="C82:C83"/>
    <mergeCell ref="D82:D83"/>
    <mergeCell ref="K74:K77"/>
    <mergeCell ref="J74:J75"/>
    <mergeCell ref="F82:F83"/>
    <mergeCell ref="G82:G83"/>
    <mergeCell ref="H82:H83"/>
    <mergeCell ref="I82:I83"/>
    <mergeCell ref="R76:R77"/>
    <mergeCell ref="P78:P79"/>
    <mergeCell ref="Q78:Q79"/>
    <mergeCell ref="R74:R75"/>
    <mergeCell ref="Q74:Q75"/>
    <mergeCell ref="P76:P77"/>
    <mergeCell ref="Q76:Q77"/>
    <mergeCell ref="P74:P75"/>
    <mergeCell ref="L76:L77"/>
    <mergeCell ref="M76:M77"/>
    <mergeCell ref="J78:J79"/>
    <mergeCell ref="N72:N73"/>
    <mergeCell ref="N76:N77"/>
    <mergeCell ref="L74:L75"/>
    <mergeCell ref="M74:M75"/>
    <mergeCell ref="N74:N75"/>
    <mergeCell ref="Q72:Q73"/>
    <mergeCell ref="R72:R73"/>
    <mergeCell ref="J72:J73"/>
    <mergeCell ref="K72:K73"/>
    <mergeCell ref="L72:L73"/>
    <mergeCell ref="M72:M73"/>
    <mergeCell ref="I68:I69"/>
    <mergeCell ref="J68:J69"/>
    <mergeCell ref="S68:S69"/>
    <mergeCell ref="T68:T69"/>
    <mergeCell ref="N68:N69"/>
    <mergeCell ref="P68:P69"/>
    <mergeCell ref="Q68:Q69"/>
    <mergeCell ref="R68:R69"/>
    <mergeCell ref="L68:L69"/>
    <mergeCell ref="M68:M69"/>
    <mergeCell ref="S66:S67"/>
    <mergeCell ref="T66:T67"/>
    <mergeCell ref="B68:B69"/>
    <mergeCell ref="C68:C69"/>
    <mergeCell ref="D68:D69"/>
    <mergeCell ref="F68:F69"/>
    <mergeCell ref="G68:G69"/>
    <mergeCell ref="H68:H69"/>
    <mergeCell ref="H66:H67"/>
    <mergeCell ref="I66:I67"/>
    <mergeCell ref="N66:N67"/>
    <mergeCell ref="P66:P67"/>
    <mergeCell ref="Q66:Q67"/>
    <mergeCell ref="R66:R67"/>
    <mergeCell ref="J66:J67"/>
    <mergeCell ref="K66:K69"/>
    <mergeCell ref="L66:L67"/>
    <mergeCell ref="M66:M67"/>
    <mergeCell ref="A66:A69"/>
    <mergeCell ref="B66:B67"/>
    <mergeCell ref="C66:C67"/>
    <mergeCell ref="D66:D67"/>
    <mergeCell ref="F66:F67"/>
    <mergeCell ref="G66:G67"/>
    <mergeCell ref="N64:N65"/>
    <mergeCell ref="P64:P65"/>
    <mergeCell ref="Q64:Q65"/>
    <mergeCell ref="R64:R65"/>
    <mergeCell ref="S62:S63"/>
    <mergeCell ref="T62:T63"/>
    <mergeCell ref="S64:S65"/>
    <mergeCell ref="T64:T65"/>
    <mergeCell ref="B64:B65"/>
    <mergeCell ref="C64:C65"/>
    <mergeCell ref="D64:D65"/>
    <mergeCell ref="F64:F65"/>
    <mergeCell ref="G64:G65"/>
    <mergeCell ref="H64:H65"/>
    <mergeCell ref="I64:I65"/>
    <mergeCell ref="J64:J65"/>
    <mergeCell ref="N62:N63"/>
    <mergeCell ref="P62:P63"/>
    <mergeCell ref="Q62:Q63"/>
    <mergeCell ref="R62:R63"/>
    <mergeCell ref="K62:K65"/>
    <mergeCell ref="L62:L63"/>
    <mergeCell ref="M62:M63"/>
    <mergeCell ref="L64:L65"/>
    <mergeCell ref="M64:M65"/>
    <mergeCell ref="T60:T61"/>
    <mergeCell ref="A62:A65"/>
    <mergeCell ref="B62:B63"/>
    <mergeCell ref="C62:C63"/>
    <mergeCell ref="D62:D63"/>
    <mergeCell ref="F62:F63"/>
    <mergeCell ref="G62:G63"/>
    <mergeCell ref="H62:H63"/>
    <mergeCell ref="I62:I63"/>
    <mergeCell ref="J62:J63"/>
    <mergeCell ref="P60:P61"/>
    <mergeCell ref="Q60:Q61"/>
    <mergeCell ref="R60:R61"/>
    <mergeCell ref="S60:S61"/>
    <mergeCell ref="T56:T57"/>
    <mergeCell ref="L58:L59"/>
    <mergeCell ref="M58:M59"/>
    <mergeCell ref="J60:J61"/>
    <mergeCell ref="L60:L61"/>
    <mergeCell ref="B60:B61"/>
    <mergeCell ref="C60:C61"/>
    <mergeCell ref="D60:D61"/>
    <mergeCell ref="F60:F61"/>
    <mergeCell ref="G60:G61"/>
    <mergeCell ref="H60:H61"/>
    <mergeCell ref="T54:T55"/>
    <mergeCell ref="I60:I61"/>
    <mergeCell ref="N56:N57"/>
    <mergeCell ref="N60:N61"/>
    <mergeCell ref="P56:P57"/>
    <mergeCell ref="Q56:Q57"/>
    <mergeCell ref="R56:R57"/>
    <mergeCell ref="I56:I57"/>
    <mergeCell ref="J56:J57"/>
    <mergeCell ref="S58:S59"/>
    <mergeCell ref="G56:G57"/>
    <mergeCell ref="H56:H57"/>
    <mergeCell ref="S54:S55"/>
    <mergeCell ref="P54:P55"/>
    <mergeCell ref="Q54:Q55"/>
    <mergeCell ref="R54:R55"/>
    <mergeCell ref="S56:S57"/>
    <mergeCell ref="H54:H55"/>
    <mergeCell ref="I54:I55"/>
    <mergeCell ref="N54:N55"/>
    <mergeCell ref="J54:J55"/>
    <mergeCell ref="K54:K57"/>
    <mergeCell ref="L54:L55"/>
    <mergeCell ref="M54:M55"/>
    <mergeCell ref="L56:L57"/>
    <mergeCell ref="M56:M57"/>
    <mergeCell ref="A54:A57"/>
    <mergeCell ref="B54:B55"/>
    <mergeCell ref="C54:C55"/>
    <mergeCell ref="D54:D55"/>
    <mergeCell ref="F54:F55"/>
    <mergeCell ref="G54:G55"/>
    <mergeCell ref="B56:B57"/>
    <mergeCell ref="C56:C57"/>
    <mergeCell ref="D56:D57"/>
    <mergeCell ref="F56:F57"/>
    <mergeCell ref="G52:G53"/>
    <mergeCell ref="H52:H53"/>
    <mergeCell ref="N52:N53"/>
    <mergeCell ref="P52:P53"/>
    <mergeCell ref="Q52:Q53"/>
    <mergeCell ref="R52:R53"/>
    <mergeCell ref="I52:I53"/>
    <mergeCell ref="J52:J53"/>
    <mergeCell ref="Q50:Q51"/>
    <mergeCell ref="R50:R51"/>
    <mergeCell ref="J50:J51"/>
    <mergeCell ref="K50:K53"/>
    <mergeCell ref="L50:L51"/>
    <mergeCell ref="M50:M51"/>
    <mergeCell ref="L52:L53"/>
    <mergeCell ref="M52:M53"/>
    <mergeCell ref="N50:N51"/>
    <mergeCell ref="P50:P51"/>
    <mergeCell ref="A50:A53"/>
    <mergeCell ref="B50:B51"/>
    <mergeCell ref="C50:C51"/>
    <mergeCell ref="D50:D51"/>
    <mergeCell ref="F50:F51"/>
    <mergeCell ref="G50:G51"/>
    <mergeCell ref="B52:B53"/>
    <mergeCell ref="C52:C53"/>
    <mergeCell ref="D52:D53"/>
    <mergeCell ref="F52:F53"/>
    <mergeCell ref="S48:S49"/>
    <mergeCell ref="T48:T49"/>
    <mergeCell ref="S50:S51"/>
    <mergeCell ref="T50:T51"/>
    <mergeCell ref="S52:S53"/>
    <mergeCell ref="T52:T53"/>
    <mergeCell ref="I48:I49"/>
    <mergeCell ref="J48:J49"/>
    <mergeCell ref="H50:H51"/>
    <mergeCell ref="I50:I51"/>
    <mergeCell ref="N48:N49"/>
    <mergeCell ref="P48:P49"/>
    <mergeCell ref="L48:L49"/>
    <mergeCell ref="M48:M49"/>
    <mergeCell ref="S46:S47"/>
    <mergeCell ref="T46:T47"/>
    <mergeCell ref="B48:B49"/>
    <mergeCell ref="C48:C49"/>
    <mergeCell ref="D48:D49"/>
    <mergeCell ref="F48:F49"/>
    <mergeCell ref="G48:G49"/>
    <mergeCell ref="H48:H49"/>
    <mergeCell ref="H46:H47"/>
    <mergeCell ref="I46:I47"/>
    <mergeCell ref="N46:N47"/>
    <mergeCell ref="P46:P47"/>
    <mergeCell ref="Q46:Q47"/>
    <mergeCell ref="R46:R47"/>
    <mergeCell ref="J46:J47"/>
    <mergeCell ref="K46:K49"/>
    <mergeCell ref="L46:L47"/>
    <mergeCell ref="M46:M47"/>
    <mergeCell ref="Q48:Q49"/>
    <mergeCell ref="R48:R49"/>
    <mergeCell ref="A46:A49"/>
    <mergeCell ref="B46:B47"/>
    <mergeCell ref="C46:C47"/>
    <mergeCell ref="D46:D47"/>
    <mergeCell ref="F46:F47"/>
    <mergeCell ref="G46:G47"/>
    <mergeCell ref="E46:E47"/>
    <mergeCell ref="N44:N45"/>
    <mergeCell ref="P44:P45"/>
    <mergeCell ref="Q44:Q45"/>
    <mergeCell ref="R44:R45"/>
    <mergeCell ref="S42:S43"/>
    <mergeCell ref="T42:T43"/>
    <mergeCell ref="S44:S45"/>
    <mergeCell ref="T44:T45"/>
    <mergeCell ref="O44:O45"/>
    <mergeCell ref="O42:O43"/>
    <mergeCell ref="B44:B45"/>
    <mergeCell ref="C44:C45"/>
    <mergeCell ref="D44:D45"/>
    <mergeCell ref="F44:F45"/>
    <mergeCell ref="G44:G45"/>
    <mergeCell ref="H44:H45"/>
    <mergeCell ref="E44:E45"/>
    <mergeCell ref="I44:I45"/>
    <mergeCell ref="J44:J45"/>
    <mergeCell ref="N42:N43"/>
    <mergeCell ref="P42:P43"/>
    <mergeCell ref="Q42:Q43"/>
    <mergeCell ref="R42:R43"/>
    <mergeCell ref="K42:K45"/>
    <mergeCell ref="L42:L43"/>
    <mergeCell ref="M42:M43"/>
    <mergeCell ref="L44:L45"/>
    <mergeCell ref="M44:M45"/>
    <mergeCell ref="T40:T41"/>
    <mergeCell ref="A42:A45"/>
    <mergeCell ref="B42:B43"/>
    <mergeCell ref="C42:C43"/>
    <mergeCell ref="D42:D43"/>
    <mergeCell ref="F42:F43"/>
    <mergeCell ref="G42:G43"/>
    <mergeCell ref="H42:H43"/>
    <mergeCell ref="I42:I43"/>
    <mergeCell ref="J42:J43"/>
    <mergeCell ref="P40:P41"/>
    <mergeCell ref="Q40:Q41"/>
    <mergeCell ref="R40:R41"/>
    <mergeCell ref="S40:S41"/>
    <mergeCell ref="T36:T37"/>
    <mergeCell ref="Q36:Q37"/>
    <mergeCell ref="R36:R37"/>
    <mergeCell ref="R38:R39"/>
    <mergeCell ref="M38:M39"/>
    <mergeCell ref="T34:T35"/>
    <mergeCell ref="G40:G41"/>
    <mergeCell ref="H40:H41"/>
    <mergeCell ref="I40:I41"/>
    <mergeCell ref="N36:N37"/>
    <mergeCell ref="N40:N41"/>
    <mergeCell ref="P36:P37"/>
    <mergeCell ref="I36:I37"/>
    <mergeCell ref="J36:J37"/>
    <mergeCell ref="H38:H39"/>
    <mergeCell ref="G36:G37"/>
    <mergeCell ref="H36:H37"/>
    <mergeCell ref="S34:S35"/>
    <mergeCell ref="P34:P35"/>
    <mergeCell ref="Q34:Q35"/>
    <mergeCell ref="R34:R35"/>
    <mergeCell ref="S36:S37"/>
    <mergeCell ref="H34:H35"/>
    <mergeCell ref="I34:I35"/>
    <mergeCell ref="N34:N35"/>
    <mergeCell ref="J34:J35"/>
    <mergeCell ref="K34:K37"/>
    <mergeCell ref="L34:L35"/>
    <mergeCell ref="M34:M35"/>
    <mergeCell ref="L36:L37"/>
    <mergeCell ref="M36:M37"/>
    <mergeCell ref="A34:A37"/>
    <mergeCell ref="B34:B35"/>
    <mergeCell ref="C34:C35"/>
    <mergeCell ref="D34:D35"/>
    <mergeCell ref="F34:F35"/>
    <mergeCell ref="G34:G35"/>
    <mergeCell ref="B36:B37"/>
    <mergeCell ref="C36:C37"/>
    <mergeCell ref="D36:D37"/>
    <mergeCell ref="F36:F37"/>
    <mergeCell ref="G32:G33"/>
    <mergeCell ref="H32:H33"/>
    <mergeCell ref="N32:N33"/>
    <mergeCell ref="P32:P33"/>
    <mergeCell ref="Q32:Q33"/>
    <mergeCell ref="R32:R33"/>
    <mergeCell ref="I32:I33"/>
    <mergeCell ref="J32:J33"/>
    <mergeCell ref="Q30:Q31"/>
    <mergeCell ref="R30:R31"/>
    <mergeCell ref="J30:J31"/>
    <mergeCell ref="K30:K33"/>
    <mergeCell ref="L30:L31"/>
    <mergeCell ref="M30:M31"/>
    <mergeCell ref="L32:L33"/>
    <mergeCell ref="M32:M33"/>
    <mergeCell ref="N30:N31"/>
    <mergeCell ref="P30:P31"/>
    <mergeCell ref="A30:A33"/>
    <mergeCell ref="B30:B31"/>
    <mergeCell ref="C30:C31"/>
    <mergeCell ref="D30:D31"/>
    <mergeCell ref="F30:F31"/>
    <mergeCell ref="G30:G31"/>
    <mergeCell ref="B32:B33"/>
    <mergeCell ref="C32:C33"/>
    <mergeCell ref="D32:D33"/>
    <mergeCell ref="F32:F33"/>
    <mergeCell ref="S28:S29"/>
    <mergeCell ref="T28:T29"/>
    <mergeCell ref="S30:S31"/>
    <mergeCell ref="T30:T31"/>
    <mergeCell ref="S32:S33"/>
    <mergeCell ref="T32:T33"/>
    <mergeCell ref="I28:I29"/>
    <mergeCell ref="J28:J29"/>
    <mergeCell ref="H30:H31"/>
    <mergeCell ref="I30:I31"/>
    <mergeCell ref="N28:N29"/>
    <mergeCell ref="P28:P29"/>
    <mergeCell ref="L28:L29"/>
    <mergeCell ref="M28:M29"/>
    <mergeCell ref="O28:O29"/>
    <mergeCell ref="S26:S27"/>
    <mergeCell ref="T26:T27"/>
    <mergeCell ref="B28:B29"/>
    <mergeCell ref="C28:C29"/>
    <mergeCell ref="D28:D29"/>
    <mergeCell ref="F28:F29"/>
    <mergeCell ref="G28:G29"/>
    <mergeCell ref="H28:H29"/>
    <mergeCell ref="H26:H27"/>
    <mergeCell ref="I26:I27"/>
    <mergeCell ref="N26:N27"/>
    <mergeCell ref="P26:P27"/>
    <mergeCell ref="Q26:Q27"/>
    <mergeCell ref="R26:R27"/>
    <mergeCell ref="J26:J27"/>
    <mergeCell ref="K26:K29"/>
    <mergeCell ref="L26:L27"/>
    <mergeCell ref="M26:M27"/>
    <mergeCell ref="Q28:Q29"/>
    <mergeCell ref="R28:R29"/>
    <mergeCell ref="A26:A29"/>
    <mergeCell ref="B26:B27"/>
    <mergeCell ref="C26:C27"/>
    <mergeCell ref="D26:D27"/>
    <mergeCell ref="F26:F27"/>
    <mergeCell ref="G26:G27"/>
    <mergeCell ref="G24:G25"/>
    <mergeCell ref="H24:H25"/>
    <mergeCell ref="N24:N25"/>
    <mergeCell ref="P24:P25"/>
    <mergeCell ref="Q24:Q25"/>
    <mergeCell ref="R24:R25"/>
    <mergeCell ref="I24:I25"/>
    <mergeCell ref="J24:J25"/>
    <mergeCell ref="Q22:Q23"/>
    <mergeCell ref="R22:R23"/>
    <mergeCell ref="J22:J23"/>
    <mergeCell ref="K22:K25"/>
    <mergeCell ref="L22:L23"/>
    <mergeCell ref="M22:M23"/>
    <mergeCell ref="L24:L25"/>
    <mergeCell ref="M24:M25"/>
    <mergeCell ref="N22:N23"/>
    <mergeCell ref="P22:P23"/>
    <mergeCell ref="A22:A25"/>
    <mergeCell ref="B22:B23"/>
    <mergeCell ref="C22:C23"/>
    <mergeCell ref="D22:D23"/>
    <mergeCell ref="F22:F23"/>
    <mergeCell ref="G22:G23"/>
    <mergeCell ref="B24:B25"/>
    <mergeCell ref="C24:C25"/>
    <mergeCell ref="D24:D25"/>
    <mergeCell ref="F24:F25"/>
    <mergeCell ref="S20:S21"/>
    <mergeCell ref="T20:T21"/>
    <mergeCell ref="S22:S23"/>
    <mergeCell ref="T22:T23"/>
    <mergeCell ref="S24:S25"/>
    <mergeCell ref="T24:T25"/>
    <mergeCell ref="I20:I21"/>
    <mergeCell ref="J20:J21"/>
    <mergeCell ref="H22:H23"/>
    <mergeCell ref="I22:I23"/>
    <mergeCell ref="N20:N21"/>
    <mergeCell ref="P20:P21"/>
    <mergeCell ref="L20:L21"/>
    <mergeCell ref="M20:M21"/>
    <mergeCell ref="S18:S19"/>
    <mergeCell ref="T18:T19"/>
    <mergeCell ref="B20:B21"/>
    <mergeCell ref="C20:C21"/>
    <mergeCell ref="D20:D21"/>
    <mergeCell ref="F20:F21"/>
    <mergeCell ref="G20:G21"/>
    <mergeCell ref="H20:H21"/>
    <mergeCell ref="H18:H19"/>
    <mergeCell ref="I18:I19"/>
    <mergeCell ref="N18:N19"/>
    <mergeCell ref="P18:P19"/>
    <mergeCell ref="Q18:Q19"/>
    <mergeCell ref="R18:R19"/>
    <mergeCell ref="J18:J19"/>
    <mergeCell ref="K18:K21"/>
    <mergeCell ref="L18:L19"/>
    <mergeCell ref="M18:M19"/>
    <mergeCell ref="Q20:Q21"/>
    <mergeCell ref="R20:R21"/>
    <mergeCell ref="A18:A21"/>
    <mergeCell ref="B18:B19"/>
    <mergeCell ref="C18:C19"/>
    <mergeCell ref="D18:D19"/>
    <mergeCell ref="F18:F19"/>
    <mergeCell ref="G18:G19"/>
    <mergeCell ref="G16:G17"/>
    <mergeCell ref="H16:H17"/>
    <mergeCell ref="N16:N17"/>
    <mergeCell ref="P16:P17"/>
    <mergeCell ref="Q16:Q17"/>
    <mergeCell ref="R16:R17"/>
    <mergeCell ref="I16:I17"/>
    <mergeCell ref="J16:J17"/>
    <mergeCell ref="Q14:Q15"/>
    <mergeCell ref="R14:R15"/>
    <mergeCell ref="J14:J15"/>
    <mergeCell ref="K14:K17"/>
    <mergeCell ref="L14:L15"/>
    <mergeCell ref="M14:M15"/>
    <mergeCell ref="L16:L17"/>
    <mergeCell ref="M16:M17"/>
    <mergeCell ref="N14:N15"/>
    <mergeCell ref="P14:P15"/>
    <mergeCell ref="A14:A17"/>
    <mergeCell ref="B14:B15"/>
    <mergeCell ref="C14:C15"/>
    <mergeCell ref="D14:D15"/>
    <mergeCell ref="F14:F15"/>
    <mergeCell ref="G14:G15"/>
    <mergeCell ref="B16:B17"/>
    <mergeCell ref="C16:C17"/>
    <mergeCell ref="D16:D17"/>
    <mergeCell ref="F16:F17"/>
    <mergeCell ref="S12:S13"/>
    <mergeCell ref="T12:T13"/>
    <mergeCell ref="S14:S15"/>
    <mergeCell ref="T14:T15"/>
    <mergeCell ref="S16:S17"/>
    <mergeCell ref="T16:T17"/>
    <mergeCell ref="I12:I13"/>
    <mergeCell ref="J12:J13"/>
    <mergeCell ref="H14:H15"/>
    <mergeCell ref="I14:I15"/>
    <mergeCell ref="N12:N13"/>
    <mergeCell ref="P12:P13"/>
    <mergeCell ref="L12:L13"/>
    <mergeCell ref="M12:M13"/>
    <mergeCell ref="O12:O13"/>
    <mergeCell ref="O14:O15"/>
    <mergeCell ref="S10:S11"/>
    <mergeCell ref="T10:T11"/>
    <mergeCell ref="B12:B13"/>
    <mergeCell ref="C12:C13"/>
    <mergeCell ref="D12:D13"/>
    <mergeCell ref="F12:F13"/>
    <mergeCell ref="G12:G13"/>
    <mergeCell ref="H12:H13"/>
    <mergeCell ref="H10:H11"/>
    <mergeCell ref="I10:I11"/>
    <mergeCell ref="N10:N11"/>
    <mergeCell ref="P10:P11"/>
    <mergeCell ref="Q10:Q11"/>
    <mergeCell ref="R10:R11"/>
    <mergeCell ref="J10:J11"/>
    <mergeCell ref="K10:K13"/>
    <mergeCell ref="L10:L11"/>
    <mergeCell ref="M10:M11"/>
    <mergeCell ref="Q12:Q13"/>
    <mergeCell ref="R12:R13"/>
    <mergeCell ref="A10:A13"/>
    <mergeCell ref="B10:B11"/>
    <mergeCell ref="C10:C11"/>
    <mergeCell ref="D10:D11"/>
    <mergeCell ref="F10:F11"/>
    <mergeCell ref="G10:G11"/>
    <mergeCell ref="N8:N9"/>
    <mergeCell ref="P8:P9"/>
    <mergeCell ref="Q8:Q9"/>
    <mergeCell ref="R8:R9"/>
    <mergeCell ref="S6:S7"/>
    <mergeCell ref="T6:T7"/>
    <mergeCell ref="S8:S9"/>
    <mergeCell ref="T8:T9"/>
    <mergeCell ref="B8:B9"/>
    <mergeCell ref="C8:C9"/>
    <mergeCell ref="D8:D9"/>
    <mergeCell ref="F8:F9"/>
    <mergeCell ref="G8:G9"/>
    <mergeCell ref="H8:H9"/>
    <mergeCell ref="I8:I9"/>
    <mergeCell ref="J8:J9"/>
    <mergeCell ref="N6:N7"/>
    <mergeCell ref="P6:P7"/>
    <mergeCell ref="Q6:Q7"/>
    <mergeCell ref="R6:R7"/>
    <mergeCell ref="J6:J7"/>
    <mergeCell ref="K6:K9"/>
    <mergeCell ref="L6:L7"/>
    <mergeCell ref="M6:M7"/>
    <mergeCell ref="L8:L9"/>
    <mergeCell ref="M8:M9"/>
    <mergeCell ref="S4:S5"/>
    <mergeCell ref="T4:T5"/>
    <mergeCell ref="A6:A9"/>
    <mergeCell ref="B6:B7"/>
    <mergeCell ref="C6:C7"/>
    <mergeCell ref="D6:D7"/>
    <mergeCell ref="F6:F7"/>
    <mergeCell ref="G6:G7"/>
    <mergeCell ref="H6:H7"/>
    <mergeCell ref="I6:I7"/>
    <mergeCell ref="N4:N5"/>
    <mergeCell ref="Q4:Q5"/>
    <mergeCell ref="R4:R5"/>
    <mergeCell ref="J4:J5"/>
    <mergeCell ref="K4:K5"/>
    <mergeCell ref="L4:L5"/>
    <mergeCell ref="M4:M5"/>
    <mergeCell ref="O4:P5"/>
    <mergeCell ref="G4:G5"/>
    <mergeCell ref="H4:H5"/>
    <mergeCell ref="I4:I5"/>
    <mergeCell ref="A4:A5"/>
    <mergeCell ref="B4:B5"/>
    <mergeCell ref="C4:C5"/>
    <mergeCell ref="D4:D5"/>
    <mergeCell ref="E4:F5"/>
    <mergeCell ref="M108:M109"/>
    <mergeCell ref="B1:J1"/>
    <mergeCell ref="L1:T1"/>
    <mergeCell ref="B2:J2"/>
    <mergeCell ref="L2:T2"/>
    <mergeCell ref="A108:A109"/>
    <mergeCell ref="B108:B109"/>
    <mergeCell ref="C108:C109"/>
    <mergeCell ref="D108:D109"/>
    <mergeCell ref="G108:G109"/>
    <mergeCell ref="N108:N109"/>
    <mergeCell ref="Q108:Q109"/>
    <mergeCell ref="R108:R109"/>
    <mergeCell ref="S108:S109"/>
    <mergeCell ref="T108:T109"/>
    <mergeCell ref="H108:H109"/>
    <mergeCell ref="I108:I109"/>
    <mergeCell ref="J108:J109"/>
    <mergeCell ref="K108:K109"/>
    <mergeCell ref="L108:L109"/>
    <mergeCell ref="A110:A113"/>
    <mergeCell ref="B110:B111"/>
    <mergeCell ref="C110:C111"/>
    <mergeCell ref="D110:D111"/>
    <mergeCell ref="F110:F111"/>
    <mergeCell ref="G110:G111"/>
    <mergeCell ref="B112:B113"/>
    <mergeCell ref="C112:C113"/>
    <mergeCell ref="D112:D113"/>
    <mergeCell ref="F112:F113"/>
    <mergeCell ref="H110:H111"/>
    <mergeCell ref="I110:I111"/>
    <mergeCell ref="J110:J111"/>
    <mergeCell ref="K110:K113"/>
    <mergeCell ref="L110:L111"/>
    <mergeCell ref="M110:M111"/>
    <mergeCell ref="L112:L113"/>
    <mergeCell ref="M112:M113"/>
    <mergeCell ref="N110:N111"/>
    <mergeCell ref="P110:P111"/>
    <mergeCell ref="Q110:Q111"/>
    <mergeCell ref="R110:R111"/>
    <mergeCell ref="S110:S111"/>
    <mergeCell ref="T110:T111"/>
    <mergeCell ref="O110:O111"/>
    <mergeCell ref="G112:G113"/>
    <mergeCell ref="H112:H113"/>
    <mergeCell ref="I112:I113"/>
    <mergeCell ref="J112:J113"/>
    <mergeCell ref="N112:N113"/>
    <mergeCell ref="P112:P113"/>
    <mergeCell ref="O112:O113"/>
    <mergeCell ref="Q112:Q113"/>
    <mergeCell ref="R112:R113"/>
    <mergeCell ref="S112:S113"/>
    <mergeCell ref="T112:T113"/>
    <mergeCell ref="A114:A117"/>
    <mergeCell ref="B114:B115"/>
    <mergeCell ref="C114:C115"/>
    <mergeCell ref="D114:D115"/>
    <mergeCell ref="F114:F115"/>
    <mergeCell ref="G114:G115"/>
    <mergeCell ref="H114:H115"/>
    <mergeCell ref="I114:I115"/>
    <mergeCell ref="J114:J115"/>
    <mergeCell ref="K114:K117"/>
    <mergeCell ref="L114:L115"/>
    <mergeCell ref="M114:M115"/>
    <mergeCell ref="L116:L117"/>
    <mergeCell ref="M116:M117"/>
    <mergeCell ref="I116:I117"/>
    <mergeCell ref="J116:J117"/>
    <mergeCell ref="N114:N115"/>
    <mergeCell ref="P114:P115"/>
    <mergeCell ref="Q114:Q115"/>
    <mergeCell ref="R114:R115"/>
    <mergeCell ref="S114:S115"/>
    <mergeCell ref="T114:T115"/>
    <mergeCell ref="O114:O115"/>
    <mergeCell ref="B116:B117"/>
    <mergeCell ref="C116:C117"/>
    <mergeCell ref="D116:D117"/>
    <mergeCell ref="F116:F117"/>
    <mergeCell ref="G116:G117"/>
    <mergeCell ref="H116:H117"/>
    <mergeCell ref="N116:N117"/>
    <mergeCell ref="P116:P117"/>
    <mergeCell ref="Q116:Q117"/>
    <mergeCell ref="R116:R117"/>
    <mergeCell ref="S116:S117"/>
    <mergeCell ref="T116:T117"/>
    <mergeCell ref="A118:A121"/>
    <mergeCell ref="B118:B119"/>
    <mergeCell ref="C118:C119"/>
    <mergeCell ref="D118:D119"/>
    <mergeCell ref="F118:F119"/>
    <mergeCell ref="G118:G119"/>
    <mergeCell ref="B120:B121"/>
    <mergeCell ref="C120:C121"/>
    <mergeCell ref="D120:D121"/>
    <mergeCell ref="F120:F121"/>
    <mergeCell ref="H118:H119"/>
    <mergeCell ref="I118:I119"/>
    <mergeCell ref="J118:J119"/>
    <mergeCell ref="K118:K121"/>
    <mergeCell ref="L118:L119"/>
    <mergeCell ref="M118:M119"/>
    <mergeCell ref="L120:L121"/>
    <mergeCell ref="M120:M121"/>
    <mergeCell ref="N118:N119"/>
    <mergeCell ref="P118:P119"/>
    <mergeCell ref="Q118:Q119"/>
    <mergeCell ref="R118:R119"/>
    <mergeCell ref="S118:S119"/>
    <mergeCell ref="T118:T119"/>
    <mergeCell ref="G120:G121"/>
    <mergeCell ref="H120:H121"/>
    <mergeCell ref="I120:I121"/>
    <mergeCell ref="J120:J121"/>
    <mergeCell ref="N120:N121"/>
    <mergeCell ref="P120:P121"/>
    <mergeCell ref="Q120:Q121"/>
    <mergeCell ref="R120:R121"/>
    <mergeCell ref="S120:S121"/>
    <mergeCell ref="T120:T121"/>
    <mergeCell ref="A122:A125"/>
    <mergeCell ref="B122:B123"/>
    <mergeCell ref="C122:C123"/>
    <mergeCell ref="D122:D123"/>
    <mergeCell ref="F122:F123"/>
    <mergeCell ref="G122:G123"/>
    <mergeCell ref="H122:H123"/>
    <mergeCell ref="I122:I123"/>
    <mergeCell ref="J122:J123"/>
    <mergeCell ref="K122:K125"/>
    <mergeCell ref="L122:L123"/>
    <mergeCell ref="M122:M123"/>
    <mergeCell ref="L124:L125"/>
    <mergeCell ref="M124:M125"/>
    <mergeCell ref="I124:I125"/>
    <mergeCell ref="J124:J125"/>
    <mergeCell ref="N122:N123"/>
    <mergeCell ref="P122:P123"/>
    <mergeCell ref="Q122:Q123"/>
    <mergeCell ref="R122:R123"/>
    <mergeCell ref="S122:S123"/>
    <mergeCell ref="T122:T123"/>
    <mergeCell ref="B124:B125"/>
    <mergeCell ref="C124:C125"/>
    <mergeCell ref="D124:D125"/>
    <mergeCell ref="F124:F125"/>
    <mergeCell ref="G124:G125"/>
    <mergeCell ref="H124:H125"/>
    <mergeCell ref="E124:E125"/>
    <mergeCell ref="N124:N125"/>
    <mergeCell ref="P124:P125"/>
    <mergeCell ref="Q124:Q125"/>
    <mergeCell ref="R124:R125"/>
    <mergeCell ref="S124:S125"/>
    <mergeCell ref="T124:T125"/>
    <mergeCell ref="M128:M129"/>
    <mergeCell ref="A128:A129"/>
    <mergeCell ref="B128:B129"/>
    <mergeCell ref="C128:C129"/>
    <mergeCell ref="D128:D129"/>
    <mergeCell ref="G128:G129"/>
    <mergeCell ref="N128:N129"/>
    <mergeCell ref="Q128:Q129"/>
    <mergeCell ref="R128:R129"/>
    <mergeCell ref="S128:S129"/>
    <mergeCell ref="T128:T129"/>
    <mergeCell ref="H128:H129"/>
    <mergeCell ref="I128:I129"/>
    <mergeCell ref="J128:J129"/>
    <mergeCell ref="K128:K129"/>
    <mergeCell ref="L128:L129"/>
    <mergeCell ref="A130:A133"/>
    <mergeCell ref="B130:B131"/>
    <mergeCell ref="C130:C131"/>
    <mergeCell ref="D130:D131"/>
    <mergeCell ref="F130:F131"/>
    <mergeCell ref="G130:G131"/>
    <mergeCell ref="B132:B133"/>
    <mergeCell ref="C132:C133"/>
    <mergeCell ref="D132:D133"/>
    <mergeCell ref="F132:F133"/>
    <mergeCell ref="H130:H131"/>
    <mergeCell ref="I130:I131"/>
    <mergeCell ref="J130:J131"/>
    <mergeCell ref="K130:K133"/>
    <mergeCell ref="L130:L131"/>
    <mergeCell ref="M130:M131"/>
    <mergeCell ref="L132:L133"/>
    <mergeCell ref="M132:M133"/>
    <mergeCell ref="N130:N131"/>
    <mergeCell ref="P130:P131"/>
    <mergeCell ref="Q130:Q131"/>
    <mergeCell ref="R130:R131"/>
    <mergeCell ref="S130:S131"/>
    <mergeCell ref="T130:T131"/>
    <mergeCell ref="G132:G133"/>
    <mergeCell ref="H132:H133"/>
    <mergeCell ref="I132:I133"/>
    <mergeCell ref="J132:J133"/>
    <mergeCell ref="N132:N133"/>
    <mergeCell ref="P132:P133"/>
    <mergeCell ref="Q132:Q133"/>
    <mergeCell ref="R132:R133"/>
    <mergeCell ref="S132:S133"/>
    <mergeCell ref="T132:T133"/>
    <mergeCell ref="A134:A137"/>
    <mergeCell ref="B134:B135"/>
    <mergeCell ref="C134:C135"/>
    <mergeCell ref="D134:D135"/>
    <mergeCell ref="F134:F135"/>
    <mergeCell ref="G134:G135"/>
    <mergeCell ref="H134:H135"/>
    <mergeCell ref="I134:I135"/>
    <mergeCell ref="J134:J135"/>
    <mergeCell ref="K134:K137"/>
    <mergeCell ref="L134:L135"/>
    <mergeCell ref="M134:M135"/>
    <mergeCell ref="L136:L137"/>
    <mergeCell ref="M136:M137"/>
    <mergeCell ref="I136:I137"/>
    <mergeCell ref="J136:J137"/>
    <mergeCell ref="N134:N135"/>
    <mergeCell ref="P134:P135"/>
    <mergeCell ref="Q134:Q135"/>
    <mergeCell ref="R134:R135"/>
    <mergeCell ref="S134:S135"/>
    <mergeCell ref="T134:T135"/>
    <mergeCell ref="B136:B137"/>
    <mergeCell ref="C136:C137"/>
    <mergeCell ref="D136:D137"/>
    <mergeCell ref="F136:F137"/>
    <mergeCell ref="G136:G137"/>
    <mergeCell ref="H136:H137"/>
    <mergeCell ref="N136:N137"/>
    <mergeCell ref="P136:P137"/>
    <mergeCell ref="Q136:Q137"/>
    <mergeCell ref="R136:R137"/>
    <mergeCell ref="S136:S137"/>
    <mergeCell ref="T136:T137"/>
    <mergeCell ref="M140:M141"/>
    <mergeCell ref="A140:A141"/>
    <mergeCell ref="B140:B141"/>
    <mergeCell ref="C140:C141"/>
    <mergeCell ref="D140:D141"/>
    <mergeCell ref="G140:G141"/>
    <mergeCell ref="N140:N141"/>
    <mergeCell ref="Q140:Q141"/>
    <mergeCell ref="R140:R141"/>
    <mergeCell ref="S140:S141"/>
    <mergeCell ref="T140:T141"/>
    <mergeCell ref="H140:H141"/>
    <mergeCell ref="I140:I141"/>
    <mergeCell ref="J140:J141"/>
    <mergeCell ref="K140:K141"/>
    <mergeCell ref="L140:L141"/>
    <mergeCell ref="A142:A145"/>
    <mergeCell ref="B142:B143"/>
    <mergeCell ref="C142:C143"/>
    <mergeCell ref="D142:D143"/>
    <mergeCell ref="F142:F143"/>
    <mergeCell ref="G142:G143"/>
    <mergeCell ref="B144:B145"/>
    <mergeCell ref="C144:C145"/>
    <mergeCell ref="D144:D145"/>
    <mergeCell ref="F144:F145"/>
    <mergeCell ref="H142:H143"/>
    <mergeCell ref="I142:I143"/>
    <mergeCell ref="J142:J143"/>
    <mergeCell ref="K142:K145"/>
    <mergeCell ref="L142:L143"/>
    <mergeCell ref="M142:M143"/>
    <mergeCell ref="L144:L145"/>
    <mergeCell ref="M144:M145"/>
    <mergeCell ref="S144:S145"/>
    <mergeCell ref="T144:T145"/>
    <mergeCell ref="N142:N143"/>
    <mergeCell ref="P142:P143"/>
    <mergeCell ref="Q142:Q143"/>
    <mergeCell ref="R142:R143"/>
    <mergeCell ref="S142:S143"/>
    <mergeCell ref="T142:T143"/>
    <mergeCell ref="P144:P145"/>
    <mergeCell ref="Q144:Q145"/>
    <mergeCell ref="R144:R145"/>
    <mergeCell ref="G144:G145"/>
    <mergeCell ref="H144:H145"/>
    <mergeCell ref="I144:I145"/>
    <mergeCell ref="J144:J145"/>
    <mergeCell ref="A149:A150"/>
    <mergeCell ref="B149:B150"/>
    <mergeCell ref="C149:C150"/>
    <mergeCell ref="D149:D150"/>
    <mergeCell ref="G149:G150"/>
    <mergeCell ref="A147:J147"/>
    <mergeCell ref="Q149:Q150"/>
    <mergeCell ref="R149:R150"/>
    <mergeCell ref="S149:S150"/>
    <mergeCell ref="T149:T150"/>
    <mergeCell ref="H149:H150"/>
    <mergeCell ref="I149:I150"/>
    <mergeCell ref="J149:J150"/>
    <mergeCell ref="K149:K150"/>
    <mergeCell ref="L149:L150"/>
    <mergeCell ref="M149:M150"/>
    <mergeCell ref="A151:A154"/>
    <mergeCell ref="B151:B152"/>
    <mergeCell ref="C151:C152"/>
    <mergeCell ref="D151:D152"/>
    <mergeCell ref="F151:F152"/>
    <mergeCell ref="G151:G152"/>
    <mergeCell ref="B153:B154"/>
    <mergeCell ref="C153:C154"/>
    <mergeCell ref="D153:D154"/>
    <mergeCell ref="F153:F154"/>
    <mergeCell ref="H151:H152"/>
    <mergeCell ref="I151:I152"/>
    <mergeCell ref="J151:J152"/>
    <mergeCell ref="K151:K154"/>
    <mergeCell ref="L151:L152"/>
    <mergeCell ref="M151:M152"/>
    <mergeCell ref="L153:L154"/>
    <mergeCell ref="M153:M154"/>
    <mergeCell ref="N151:N152"/>
    <mergeCell ref="P151:P152"/>
    <mergeCell ref="Q151:Q152"/>
    <mergeCell ref="O153:O154"/>
    <mergeCell ref="Q153:Q154"/>
    <mergeCell ref="R151:R152"/>
    <mergeCell ref="S151:S152"/>
    <mergeCell ref="T151:T152"/>
    <mergeCell ref="O151:O152"/>
    <mergeCell ref="G153:G154"/>
    <mergeCell ref="H153:H154"/>
    <mergeCell ref="I153:I154"/>
    <mergeCell ref="J153:J154"/>
    <mergeCell ref="N153:N154"/>
    <mergeCell ref="P153:P154"/>
    <mergeCell ref="R153:R154"/>
    <mergeCell ref="S153:S154"/>
    <mergeCell ref="T153:T154"/>
    <mergeCell ref="A155:A158"/>
    <mergeCell ref="B155:B156"/>
    <mergeCell ref="C155:C156"/>
    <mergeCell ref="D155:D156"/>
    <mergeCell ref="F155:F156"/>
    <mergeCell ref="G155:G156"/>
    <mergeCell ref="H155:H156"/>
    <mergeCell ref="I155:I156"/>
    <mergeCell ref="J155:J156"/>
    <mergeCell ref="K155:K158"/>
    <mergeCell ref="L155:L156"/>
    <mergeCell ref="M155:M156"/>
    <mergeCell ref="L157:L158"/>
    <mergeCell ref="M157:M158"/>
    <mergeCell ref="I157:I158"/>
    <mergeCell ref="J157:J158"/>
    <mergeCell ref="N155:N156"/>
    <mergeCell ref="P155:P156"/>
    <mergeCell ref="Q155:Q156"/>
    <mergeCell ref="R155:R156"/>
    <mergeCell ref="S155:S156"/>
    <mergeCell ref="T155:T156"/>
    <mergeCell ref="O155:O156"/>
    <mergeCell ref="B157:B158"/>
    <mergeCell ref="C157:C158"/>
    <mergeCell ref="D157:D158"/>
    <mergeCell ref="F157:F158"/>
    <mergeCell ref="G157:G158"/>
    <mergeCell ref="H157:H158"/>
    <mergeCell ref="E157:E158"/>
    <mergeCell ref="N157:N158"/>
    <mergeCell ref="P157:P158"/>
    <mergeCell ref="Q157:Q158"/>
    <mergeCell ref="R157:R158"/>
    <mergeCell ref="S157:S158"/>
    <mergeCell ref="T157:T158"/>
    <mergeCell ref="O157:O158"/>
    <mergeCell ref="A160:A163"/>
    <mergeCell ref="B160:B161"/>
    <mergeCell ref="C160:C161"/>
    <mergeCell ref="D160:D161"/>
    <mergeCell ref="F160:F161"/>
    <mergeCell ref="G160:G161"/>
    <mergeCell ref="B162:B163"/>
    <mergeCell ref="C162:C163"/>
    <mergeCell ref="D162:D163"/>
    <mergeCell ref="F162:F163"/>
    <mergeCell ref="H160:H161"/>
    <mergeCell ref="I160:I161"/>
    <mergeCell ref="J160:J161"/>
    <mergeCell ref="K160:K163"/>
    <mergeCell ref="L160:L161"/>
    <mergeCell ref="M160:M161"/>
    <mergeCell ref="L162:L163"/>
    <mergeCell ref="M162:M163"/>
    <mergeCell ref="N160:N161"/>
    <mergeCell ref="P160:P161"/>
    <mergeCell ref="Q160:Q161"/>
    <mergeCell ref="R160:R161"/>
    <mergeCell ref="S160:S161"/>
    <mergeCell ref="T160:T161"/>
    <mergeCell ref="O160:O161"/>
    <mergeCell ref="G162:G163"/>
    <mergeCell ref="H162:H163"/>
    <mergeCell ref="I162:I163"/>
    <mergeCell ref="J162:J163"/>
    <mergeCell ref="N162:N163"/>
    <mergeCell ref="P162:P163"/>
    <mergeCell ref="O162:O163"/>
    <mergeCell ref="Q162:Q163"/>
    <mergeCell ref="R162:R163"/>
    <mergeCell ref="S162:S163"/>
    <mergeCell ref="T162:T163"/>
    <mergeCell ref="A164:A167"/>
    <mergeCell ref="B164:B165"/>
    <mergeCell ref="C164:C165"/>
    <mergeCell ref="D164:D165"/>
    <mergeCell ref="F164:F165"/>
    <mergeCell ref="G164:G165"/>
    <mergeCell ref="H164:H165"/>
    <mergeCell ref="I164:I165"/>
    <mergeCell ref="J164:J165"/>
    <mergeCell ref="K164:K167"/>
    <mergeCell ref="L164:L165"/>
    <mergeCell ref="M164:M165"/>
    <mergeCell ref="L166:L167"/>
    <mergeCell ref="M166:M167"/>
    <mergeCell ref="I166:I167"/>
    <mergeCell ref="J166:J167"/>
    <mergeCell ref="N164:N165"/>
    <mergeCell ref="P164:P165"/>
    <mergeCell ref="Q164:Q165"/>
    <mergeCell ref="R164:R165"/>
    <mergeCell ref="S164:S165"/>
    <mergeCell ref="T164:T165"/>
    <mergeCell ref="O164:O165"/>
    <mergeCell ref="B166:B167"/>
    <mergeCell ref="C166:C167"/>
    <mergeCell ref="D166:D167"/>
    <mergeCell ref="F166:F167"/>
    <mergeCell ref="G166:G167"/>
    <mergeCell ref="H166:H167"/>
    <mergeCell ref="N166:N167"/>
    <mergeCell ref="P166:P167"/>
    <mergeCell ref="Q166:Q167"/>
    <mergeCell ref="R166:R167"/>
    <mergeCell ref="S166:S167"/>
    <mergeCell ref="T166:T167"/>
    <mergeCell ref="O166:O167"/>
    <mergeCell ref="A169:A172"/>
    <mergeCell ref="B169:B170"/>
    <mergeCell ref="C169:C170"/>
    <mergeCell ref="D169:D170"/>
    <mergeCell ref="F169:F170"/>
    <mergeCell ref="G169:G170"/>
    <mergeCell ref="B171:B172"/>
    <mergeCell ref="C171:C172"/>
    <mergeCell ref="D171:D172"/>
    <mergeCell ref="F171:F172"/>
    <mergeCell ref="Q169:Q170"/>
    <mergeCell ref="R169:R170"/>
    <mergeCell ref="S169:S170"/>
    <mergeCell ref="T169:T170"/>
    <mergeCell ref="O169:O170"/>
    <mergeCell ref="H169:H170"/>
    <mergeCell ref="I169:I170"/>
    <mergeCell ref="J169:J170"/>
    <mergeCell ref="K169:K172"/>
    <mergeCell ref="L169:L170"/>
    <mergeCell ref="I171:I172"/>
    <mergeCell ref="J171:J172"/>
    <mergeCell ref="N171:N172"/>
    <mergeCell ref="P171:P172"/>
    <mergeCell ref="O171:O172"/>
    <mergeCell ref="N169:N170"/>
    <mergeCell ref="P169:P170"/>
    <mergeCell ref="M169:M170"/>
    <mergeCell ref="L171:L172"/>
    <mergeCell ref="M171:M172"/>
    <mergeCell ref="Q171:Q172"/>
    <mergeCell ref="R171:R172"/>
    <mergeCell ref="S171:S172"/>
    <mergeCell ref="T171:T172"/>
    <mergeCell ref="A173:A176"/>
    <mergeCell ref="B173:B174"/>
    <mergeCell ref="C173:C174"/>
    <mergeCell ref="D173:D174"/>
    <mergeCell ref="F173:F174"/>
    <mergeCell ref="G173:G174"/>
    <mergeCell ref="I173:I174"/>
    <mergeCell ref="J173:J174"/>
    <mergeCell ref="B175:B176"/>
    <mergeCell ref="C175:C176"/>
    <mergeCell ref="D175:D176"/>
    <mergeCell ref="F175:F176"/>
    <mergeCell ref="G175:G176"/>
    <mergeCell ref="H175:H176"/>
    <mergeCell ref="I175:I176"/>
    <mergeCell ref="J175:J176"/>
    <mergeCell ref="Q173:Q174"/>
    <mergeCell ref="R173:R174"/>
    <mergeCell ref="S173:S174"/>
    <mergeCell ref="K173:K176"/>
    <mergeCell ref="L173:L174"/>
    <mergeCell ref="M173:M174"/>
    <mergeCell ref="N173:N174"/>
    <mergeCell ref="O175:O176"/>
    <mergeCell ref="O173:O174"/>
    <mergeCell ref="T173:T174"/>
    <mergeCell ref="L175:L176"/>
    <mergeCell ref="M175:M176"/>
    <mergeCell ref="N175:N176"/>
    <mergeCell ref="P175:P176"/>
    <mergeCell ref="Q175:Q176"/>
    <mergeCell ref="R175:R176"/>
    <mergeCell ref="S175:S176"/>
    <mergeCell ref="T175:T176"/>
    <mergeCell ref="P173:P174"/>
    <mergeCell ref="A178:A181"/>
    <mergeCell ref="B178:B179"/>
    <mergeCell ref="C178:C179"/>
    <mergeCell ref="D178:D179"/>
    <mergeCell ref="F178:F179"/>
    <mergeCell ref="G178:G179"/>
    <mergeCell ref="B180:B181"/>
    <mergeCell ref="C180:C181"/>
    <mergeCell ref="D180:D181"/>
    <mergeCell ref="F180:F181"/>
    <mergeCell ref="I178:I179"/>
    <mergeCell ref="J178:J179"/>
    <mergeCell ref="K178:K181"/>
    <mergeCell ref="L178:L179"/>
    <mergeCell ref="M178:M179"/>
    <mergeCell ref="L180:L181"/>
    <mergeCell ref="M180:M181"/>
    <mergeCell ref="I180:I181"/>
    <mergeCell ref="J180:J181"/>
    <mergeCell ref="N178:N179"/>
    <mergeCell ref="P178:P179"/>
    <mergeCell ref="Q178:Q179"/>
    <mergeCell ref="R178:R179"/>
    <mergeCell ref="S178:S179"/>
    <mergeCell ref="T178:T179"/>
    <mergeCell ref="O178:O179"/>
    <mergeCell ref="S180:S181"/>
    <mergeCell ref="T180:T181"/>
    <mergeCell ref="N180:N181"/>
    <mergeCell ref="P180:P181"/>
    <mergeCell ref="Q180:Q181"/>
    <mergeCell ref="R180:R181"/>
    <mergeCell ref="O180:O181"/>
    <mergeCell ref="O26:O27"/>
    <mergeCell ref="O24:O25"/>
    <mergeCell ref="O22:O23"/>
    <mergeCell ref="O20:O21"/>
    <mergeCell ref="O18:O19"/>
    <mergeCell ref="O16:O17"/>
    <mergeCell ref="O10:O11"/>
    <mergeCell ref="O8:O9"/>
    <mergeCell ref="O6:O7"/>
    <mergeCell ref="E28:E29"/>
    <mergeCell ref="E26:E27"/>
    <mergeCell ref="E24:E25"/>
    <mergeCell ref="E22:E23"/>
    <mergeCell ref="E20:E21"/>
    <mergeCell ref="E18:E19"/>
    <mergeCell ref="E16:E17"/>
    <mergeCell ref="E14:E15"/>
    <mergeCell ref="E12:E13"/>
    <mergeCell ref="E10:E11"/>
    <mergeCell ref="E8:E9"/>
    <mergeCell ref="E6:E7"/>
    <mergeCell ref="E56:E57"/>
    <mergeCell ref="E54:E55"/>
    <mergeCell ref="E52:E53"/>
    <mergeCell ref="E50:E51"/>
    <mergeCell ref="E48:E49"/>
    <mergeCell ref="O56:O57"/>
    <mergeCell ref="O54:O55"/>
    <mergeCell ref="O52:O53"/>
    <mergeCell ref="O50:O51"/>
    <mergeCell ref="O48:O49"/>
    <mergeCell ref="O46:O47"/>
    <mergeCell ref="O40:O41"/>
    <mergeCell ref="O38:O39"/>
    <mergeCell ref="O36:O37"/>
    <mergeCell ref="O34:O35"/>
    <mergeCell ref="O32:O33"/>
    <mergeCell ref="O30:O31"/>
    <mergeCell ref="E42:E43"/>
    <mergeCell ref="E40:E41"/>
    <mergeCell ref="E38:E39"/>
    <mergeCell ref="E36:E37"/>
    <mergeCell ref="E34:E35"/>
    <mergeCell ref="E32:E33"/>
    <mergeCell ref="E30:E31"/>
    <mergeCell ref="O80:O81"/>
    <mergeCell ref="O78:O79"/>
    <mergeCell ref="O76:O77"/>
    <mergeCell ref="O74:O75"/>
    <mergeCell ref="O68:O69"/>
    <mergeCell ref="O66:O67"/>
    <mergeCell ref="O64:O65"/>
    <mergeCell ref="O62:O63"/>
    <mergeCell ref="O60:O61"/>
    <mergeCell ref="O58:O59"/>
    <mergeCell ref="E80:E81"/>
    <mergeCell ref="E78:E79"/>
    <mergeCell ref="E76:E77"/>
    <mergeCell ref="E74:E75"/>
    <mergeCell ref="E68:E69"/>
    <mergeCell ref="E66:E67"/>
    <mergeCell ref="E64:E65"/>
    <mergeCell ref="E62:E63"/>
    <mergeCell ref="E60:E61"/>
    <mergeCell ref="E58:E59"/>
    <mergeCell ref="O72:P73"/>
    <mergeCell ref="E72:F73"/>
    <mergeCell ref="O104:O105"/>
    <mergeCell ref="O102:O103"/>
    <mergeCell ref="O100:O101"/>
    <mergeCell ref="O98:O99"/>
    <mergeCell ref="O96:O97"/>
    <mergeCell ref="O94:O95"/>
    <mergeCell ref="O92:O93"/>
    <mergeCell ref="O90:O91"/>
    <mergeCell ref="O88:O89"/>
    <mergeCell ref="O86:O87"/>
    <mergeCell ref="O84:O85"/>
    <mergeCell ref="O82:O83"/>
    <mergeCell ref="E104:E105"/>
    <mergeCell ref="E102:E103"/>
    <mergeCell ref="E100:E101"/>
    <mergeCell ref="E98:E99"/>
    <mergeCell ref="E96:E97"/>
    <mergeCell ref="E94:E95"/>
    <mergeCell ref="E92:E93"/>
    <mergeCell ref="E90:E91"/>
    <mergeCell ref="E88:E89"/>
    <mergeCell ref="E86:E87"/>
    <mergeCell ref="E84:E85"/>
    <mergeCell ref="E82:E83"/>
    <mergeCell ref="O128:P129"/>
    <mergeCell ref="O108:P109"/>
    <mergeCell ref="E128:F129"/>
    <mergeCell ref="E108:F109"/>
    <mergeCell ref="O124:O125"/>
    <mergeCell ref="O122:O123"/>
    <mergeCell ref="O120:O121"/>
    <mergeCell ref="O118:O119"/>
    <mergeCell ref="O116:O117"/>
    <mergeCell ref="E122:E123"/>
    <mergeCell ref="E120:E121"/>
    <mergeCell ref="E118:E119"/>
    <mergeCell ref="E116:E117"/>
    <mergeCell ref="E114:E115"/>
    <mergeCell ref="E112:E113"/>
    <mergeCell ref="E110:E111"/>
    <mergeCell ref="O144:O145"/>
    <mergeCell ref="O142:O143"/>
    <mergeCell ref="O136:O137"/>
    <mergeCell ref="O134:O135"/>
    <mergeCell ref="O132:O133"/>
    <mergeCell ref="O130:O131"/>
    <mergeCell ref="E144:E145"/>
    <mergeCell ref="E142:E143"/>
    <mergeCell ref="E136:E137"/>
    <mergeCell ref="E134:E135"/>
    <mergeCell ref="E132:E133"/>
    <mergeCell ref="E130:E131"/>
    <mergeCell ref="E149:F150"/>
    <mergeCell ref="O149:P150"/>
    <mergeCell ref="O140:P141"/>
    <mergeCell ref="E140:F141"/>
    <mergeCell ref="N149:N150"/>
    <mergeCell ref="K147:T147"/>
    <mergeCell ref="N144:N145"/>
    <mergeCell ref="E155:E156"/>
    <mergeCell ref="E153:E154"/>
    <mergeCell ref="E151:E152"/>
    <mergeCell ref="E175:E176"/>
    <mergeCell ref="E173:E174"/>
    <mergeCell ref="E171:E172"/>
    <mergeCell ref="E169:E170"/>
    <mergeCell ref="E166:E167"/>
    <mergeCell ref="E164:E165"/>
    <mergeCell ref="E180:E181"/>
    <mergeCell ref="E178:E179"/>
    <mergeCell ref="E162:E163"/>
    <mergeCell ref="E160:E161"/>
    <mergeCell ref="G180:G181"/>
    <mergeCell ref="H180:H181"/>
    <mergeCell ref="H178:H179"/>
    <mergeCell ref="H173:H174"/>
    <mergeCell ref="G171:G172"/>
    <mergeCell ref="H171:H172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I45"/>
  <sheetViews>
    <sheetView zoomScalePageLayoutView="0" workbookViewId="0" topLeftCell="A1">
      <selection activeCell="I24" sqref="A1:I24"/>
    </sheetView>
  </sheetViews>
  <sheetFormatPr defaultColWidth="9.140625" defaultRowHeight="12.75"/>
  <cols>
    <col min="1" max="1" width="4.8515625" style="0" customWidth="1"/>
    <col min="2" max="2" width="6.421875" style="0" customWidth="1"/>
    <col min="3" max="3" width="16.8515625" style="0" customWidth="1"/>
    <col min="4" max="4" width="10.421875" style="0" customWidth="1"/>
    <col min="5" max="5" width="7.00390625" style="0" customWidth="1"/>
    <col min="6" max="6" width="12.57421875" style="0" customWidth="1"/>
    <col min="7" max="7" width="26.8515625" style="0" customWidth="1"/>
    <col min="8" max="8" width="7.28125" style="0" customWidth="1"/>
    <col min="9" max="9" width="7.00390625" style="0" customWidth="1"/>
  </cols>
  <sheetData>
    <row r="1" spans="1:9" ht="30" customHeight="1">
      <c r="A1" s="517" t="str">
        <f>'[2]реквизиты'!$A$2</f>
        <v>Чемпионат России по  САМБО среди мужчин.</v>
      </c>
      <c r="B1" s="517"/>
      <c r="C1" s="517"/>
      <c r="D1" s="517"/>
      <c r="E1" s="517"/>
      <c r="F1" s="517"/>
      <c r="G1" s="517"/>
      <c r="H1" s="517"/>
      <c r="I1" s="517"/>
    </row>
    <row r="2" spans="4:5" ht="12.75" customHeight="1">
      <c r="D2" s="98"/>
      <c r="E2" s="99" t="str">
        <f>'пр.взв.'!D4</f>
        <v>в.к. св 100 кг.</v>
      </c>
    </row>
    <row r="3" ht="19.5" customHeight="1">
      <c r="C3" s="39" t="s">
        <v>28</v>
      </c>
    </row>
    <row r="4" ht="21" customHeight="1">
      <c r="C4" s="40" t="s">
        <v>11</v>
      </c>
    </row>
    <row r="5" spans="1:9" ht="12.75">
      <c r="A5" s="282" t="s">
        <v>12</v>
      </c>
      <c r="B5" s="282" t="s">
        <v>3</v>
      </c>
      <c r="C5" s="274" t="s">
        <v>4</v>
      </c>
      <c r="D5" s="282" t="s">
        <v>13</v>
      </c>
      <c r="E5" s="506" t="s">
        <v>14</v>
      </c>
      <c r="F5" s="507"/>
      <c r="G5" s="282" t="s">
        <v>15</v>
      </c>
      <c r="H5" s="282" t="s">
        <v>16</v>
      </c>
      <c r="I5" s="282" t="s">
        <v>17</v>
      </c>
    </row>
    <row r="6" spans="1:9" ht="12.75">
      <c r="A6" s="273"/>
      <c r="B6" s="273"/>
      <c r="C6" s="273"/>
      <c r="D6" s="273"/>
      <c r="E6" s="508"/>
      <c r="F6" s="509"/>
      <c r="G6" s="273"/>
      <c r="H6" s="273"/>
      <c r="I6" s="273"/>
    </row>
    <row r="7" spans="1:9" ht="12.75">
      <c r="A7" s="518"/>
      <c r="B7" s="422">
        <f>'пр.хода'!Q15</f>
        <v>5</v>
      </c>
      <c r="C7" s="519" t="str">
        <f>VLOOKUP(B7,'пр.взв.'!B7:H134,2,FALSE)</f>
        <v>ГЕНИЯТОВ Глеб Эдуардович</v>
      </c>
      <c r="D7" s="519" t="str">
        <f>VLOOKUP(B7,'пр.взв.'!B7:H134,3,FALSE)</f>
        <v>29.04.85, МС</v>
      </c>
      <c r="E7" s="510" t="str">
        <f>VLOOKUP(B7,'пр.взв.'!B7:H134,4,FALSE)</f>
        <v>УФО</v>
      </c>
      <c r="F7" s="512" t="str">
        <f>VLOOKUP(B7,'пр.взв.'!B7:H134,5,FALSE)</f>
        <v>Свердловская, Екатеринбург, ПР</v>
      </c>
      <c r="G7" s="514"/>
      <c r="H7" s="300"/>
      <c r="I7" s="282"/>
    </row>
    <row r="8" spans="1:9" ht="12.75">
      <c r="A8" s="518"/>
      <c r="B8" s="282"/>
      <c r="C8" s="519"/>
      <c r="D8" s="519"/>
      <c r="E8" s="515"/>
      <c r="F8" s="516"/>
      <c r="G8" s="514"/>
      <c r="H8" s="300"/>
      <c r="I8" s="282"/>
    </row>
    <row r="9" spans="1:9" ht="12.75">
      <c r="A9" s="520"/>
      <c r="B9" s="422">
        <f>'пр.хода'!Q21</f>
        <v>12</v>
      </c>
      <c r="C9" s="519" t="str">
        <f>VLOOKUP(B9,'пр.взв.'!B1:H136,2,FALSE)</f>
        <v>АБУЛАДЗЕ Паата Венорович</v>
      </c>
      <c r="D9" s="519" t="str">
        <f>VLOOKUP(B9,'пр.взв.'!B1:H136,3,FALSE)</f>
        <v>15.06.91, КМС</v>
      </c>
      <c r="E9" s="510" t="str">
        <f>VLOOKUP(B9,'пр.взв.'!B1:H136,4,FALSE)</f>
        <v>ЮФО</v>
      </c>
      <c r="F9" s="512" t="str">
        <f>VLOOKUP(B9,'пр.взв.'!B1:H136,5,FALSE)</f>
        <v>Краснодарский, Краснодар Д</v>
      </c>
      <c r="G9" s="514"/>
      <c r="H9" s="282"/>
      <c r="I9" s="282"/>
    </row>
    <row r="10" spans="1:9" ht="12.75">
      <c r="A10" s="520"/>
      <c r="B10" s="282"/>
      <c r="C10" s="519"/>
      <c r="D10" s="519"/>
      <c r="E10" s="511"/>
      <c r="F10" s="513"/>
      <c r="G10" s="514"/>
      <c r="H10" s="282"/>
      <c r="I10" s="282"/>
    </row>
    <row r="11" spans="1:2" ht="34.5" customHeight="1">
      <c r="A11" s="30" t="s">
        <v>18</v>
      </c>
      <c r="B11" s="30"/>
    </row>
    <row r="12" spans="2:9" ht="19.5" customHeight="1">
      <c r="B12" s="30" t="s">
        <v>0</v>
      </c>
      <c r="C12" s="41"/>
      <c r="D12" s="41"/>
      <c r="E12" s="41"/>
      <c r="F12" s="41"/>
      <c r="G12" s="41"/>
      <c r="H12" s="41"/>
      <c r="I12" s="41"/>
    </row>
    <row r="13" spans="2:9" ht="19.5" customHeight="1">
      <c r="B13" s="30" t="s">
        <v>1</v>
      </c>
      <c r="C13" s="41"/>
      <c r="D13" s="41"/>
      <c r="E13" s="41"/>
      <c r="F13" s="41"/>
      <c r="G13" s="41"/>
      <c r="H13" s="41"/>
      <c r="I13" s="41"/>
    </row>
    <row r="14" ht="19.5" customHeight="1"/>
    <row r="15" ht="24" customHeight="1">
      <c r="C15" s="13" t="s">
        <v>54</v>
      </c>
    </row>
    <row r="16" spans="3:5" ht="12.75" customHeight="1">
      <c r="C16" s="40" t="s">
        <v>19</v>
      </c>
      <c r="E16" s="99" t="str">
        <f>E2</f>
        <v>в.к. св 100 кг.</v>
      </c>
    </row>
    <row r="17" spans="1:9" ht="12.75">
      <c r="A17" s="282" t="s">
        <v>12</v>
      </c>
      <c r="B17" s="282" t="s">
        <v>3</v>
      </c>
      <c r="C17" s="274" t="s">
        <v>4</v>
      </c>
      <c r="D17" s="282" t="s">
        <v>13</v>
      </c>
      <c r="E17" s="506" t="s">
        <v>14</v>
      </c>
      <c r="F17" s="507"/>
      <c r="G17" s="282" t="s">
        <v>15</v>
      </c>
      <c r="H17" s="282" t="s">
        <v>16</v>
      </c>
      <c r="I17" s="282" t="s">
        <v>17</v>
      </c>
    </row>
    <row r="18" spans="1:9" ht="12.75">
      <c r="A18" s="273"/>
      <c r="B18" s="273"/>
      <c r="C18" s="273"/>
      <c r="D18" s="273"/>
      <c r="E18" s="508"/>
      <c r="F18" s="509"/>
      <c r="G18" s="273"/>
      <c r="H18" s="273"/>
      <c r="I18" s="273"/>
    </row>
    <row r="19" spans="1:9" ht="12.75">
      <c r="A19" s="518"/>
      <c r="B19" s="422">
        <f>'пр.хода'!Q64</f>
        <v>6</v>
      </c>
      <c r="C19" s="519" t="str">
        <f>VLOOKUP(B19,'пр.взв.'!B7:H146,2,FALSE)</f>
        <v>КУЧУМОВ Александр Николаевич</v>
      </c>
      <c r="D19" s="519" t="str">
        <f>VLOOKUP(B19,'пр.взв.'!B7:H146,3,FALSE)</f>
        <v>06.11.90, мсмк</v>
      </c>
      <c r="E19" s="510" t="str">
        <f>VLOOKUP(B19,'пр.взв.'!B7:H146,4,FALSE)</f>
        <v>МОС</v>
      </c>
      <c r="F19" s="512" t="str">
        <f>VLOOKUP(B19,'пр.взв.'!B7:H146,5,FALSE)</f>
        <v>г. Москва, Д</v>
      </c>
      <c r="G19" s="514"/>
      <c r="H19" s="300"/>
      <c r="I19" s="282"/>
    </row>
    <row r="20" spans="1:9" ht="12.75">
      <c r="A20" s="518"/>
      <c r="B20" s="282"/>
      <c r="C20" s="519"/>
      <c r="D20" s="519"/>
      <c r="E20" s="515"/>
      <c r="F20" s="516"/>
      <c r="G20" s="514"/>
      <c r="H20" s="300"/>
      <c r="I20" s="282"/>
    </row>
    <row r="21" spans="1:9" ht="12.75">
      <c r="A21" s="520"/>
      <c r="B21" s="422">
        <f>'пр.хода'!Q69</f>
        <v>11</v>
      </c>
      <c r="C21" s="519" t="str">
        <f>VLOOKUP(B21,'пр.взв.'!B4:H148,2,FALSE)</f>
        <v>ЮСУФОВ Гаджи Чингизович</v>
      </c>
      <c r="D21" s="519" t="str">
        <f>VLOOKUP(B21,'пр.взв.'!B4:H148,3,FALSE)</f>
        <v>08.05.90, МС</v>
      </c>
      <c r="E21" s="510" t="str">
        <f>VLOOKUP(B21,'пр.взв.'!B4:H148,4,FALSE)</f>
        <v>ПФО</v>
      </c>
      <c r="F21" s="512" t="str">
        <f>VLOOKUP(B21,'пр.взв.'!B4:H148,5,FALSE)</f>
        <v>Пермский, Пермь, Д</v>
      </c>
      <c r="G21" s="514"/>
      <c r="H21" s="282"/>
      <c r="I21" s="282"/>
    </row>
    <row r="22" spans="1:9" ht="12.75">
      <c r="A22" s="520"/>
      <c r="B22" s="282"/>
      <c r="C22" s="519"/>
      <c r="D22" s="519"/>
      <c r="E22" s="511"/>
      <c r="F22" s="513"/>
      <c r="G22" s="514"/>
      <c r="H22" s="282"/>
      <c r="I22" s="282"/>
    </row>
    <row r="23" spans="1:2" ht="32.25" customHeight="1">
      <c r="A23" s="30" t="s">
        <v>18</v>
      </c>
      <c r="B23" s="30"/>
    </row>
    <row r="24" spans="2:9" ht="19.5" customHeight="1">
      <c r="B24" s="30" t="s">
        <v>0</v>
      </c>
      <c r="C24" s="41"/>
      <c r="D24" s="41"/>
      <c r="E24" s="41"/>
      <c r="F24" s="41"/>
      <c r="G24" s="41"/>
      <c r="H24" s="41"/>
      <c r="I24" s="41"/>
    </row>
    <row r="25" spans="2:9" ht="19.5" customHeight="1">
      <c r="B25" s="30" t="s">
        <v>1</v>
      </c>
      <c r="C25" s="41"/>
      <c r="D25" s="41"/>
      <c r="E25" s="41"/>
      <c r="F25" s="41"/>
      <c r="G25" s="41"/>
      <c r="H25" s="41"/>
      <c r="I25" s="41"/>
    </row>
    <row r="28" ht="12.75" customHeight="1"/>
    <row r="29" spans="3:5" ht="15.75" customHeight="1">
      <c r="C29" s="38" t="s">
        <v>20</v>
      </c>
      <c r="E29" s="99" t="str">
        <f>E16</f>
        <v>в.к. св 100 кг.</v>
      </c>
    </row>
    <row r="30" spans="1:9" ht="12.75">
      <c r="A30" s="282" t="s">
        <v>12</v>
      </c>
      <c r="B30" s="282" t="s">
        <v>3</v>
      </c>
      <c r="C30" s="274" t="s">
        <v>4</v>
      </c>
      <c r="D30" s="282" t="s">
        <v>13</v>
      </c>
      <c r="E30" s="506" t="s">
        <v>14</v>
      </c>
      <c r="F30" s="507"/>
      <c r="G30" s="282" t="s">
        <v>15</v>
      </c>
      <c r="H30" s="282" t="s">
        <v>16</v>
      </c>
      <c r="I30" s="282" t="s">
        <v>17</v>
      </c>
    </row>
    <row r="31" spans="1:9" ht="12.75">
      <c r="A31" s="273"/>
      <c r="B31" s="273"/>
      <c r="C31" s="273"/>
      <c r="D31" s="273"/>
      <c r="E31" s="508"/>
      <c r="F31" s="509"/>
      <c r="G31" s="273"/>
      <c r="H31" s="273"/>
      <c r="I31" s="273"/>
    </row>
    <row r="32" spans="1:9" ht="12.75">
      <c r="A32" s="518"/>
      <c r="B32" s="422">
        <f>'пр.хода'!M36</f>
        <v>29</v>
      </c>
      <c r="C32" s="519" t="str">
        <f>VLOOKUP(B32,'пр.взв.'!B1:H159,2,FALSE)</f>
        <v>ОСИПЕНКО Артем Иванович</v>
      </c>
      <c r="D32" s="519" t="str">
        <f>VLOOKUP(B32,'пр.взв.'!B4:H159,3,FALSE)</f>
        <v>27.05.88 змс</v>
      </c>
      <c r="E32" s="510" t="str">
        <f>VLOOKUP(B32,'пр.взв.'!B1:H159,4,FALSE)</f>
        <v>ЦФО</v>
      </c>
      <c r="F32" s="512" t="str">
        <f>VLOOKUP(B32,'пр.взв.'!B1:H159,5,FALSE)</f>
        <v>Брянская Брянск ВС</v>
      </c>
      <c r="G32" s="514"/>
      <c r="H32" s="300"/>
      <c r="I32" s="282"/>
    </row>
    <row r="33" spans="1:9" ht="12.75">
      <c r="A33" s="518"/>
      <c r="B33" s="282"/>
      <c r="C33" s="519"/>
      <c r="D33" s="519"/>
      <c r="E33" s="515"/>
      <c r="F33" s="516"/>
      <c r="G33" s="514"/>
      <c r="H33" s="300"/>
      <c r="I33" s="282"/>
    </row>
    <row r="34" spans="1:9" ht="12.75">
      <c r="A34" s="520"/>
      <c r="B34" s="422">
        <f>'пр.хода'!S36</f>
        <v>26</v>
      </c>
      <c r="C34" s="519" t="str">
        <f>VLOOKUP(B34,'пр.взв.'!B2:H161,2,FALSE)</f>
        <v>АРСЛАНОВ Рустем Разитович</v>
      </c>
      <c r="D34" s="519" t="str">
        <f>VLOOKUP(B34,'пр.взв.'!B2:H161,3,FALSE)</f>
        <v>31.07.80 мс</v>
      </c>
      <c r="E34" s="510" t="str">
        <f>VLOOKUP(B34,'пр.взв.'!B2:H161,4,FALSE)</f>
        <v>ПФО</v>
      </c>
      <c r="F34" s="512" t="str">
        <f>VLOOKUP(B34,'пр.взв.'!B2:H161,5,FALSE)</f>
        <v>Башкортостан Уфа Д</v>
      </c>
      <c r="G34" s="514"/>
      <c r="H34" s="282"/>
      <c r="I34" s="282"/>
    </row>
    <row r="35" spans="1:9" ht="12.75">
      <c r="A35" s="520"/>
      <c r="B35" s="282"/>
      <c r="C35" s="519"/>
      <c r="D35" s="519"/>
      <c r="E35" s="511"/>
      <c r="F35" s="513"/>
      <c r="G35" s="514"/>
      <c r="H35" s="282"/>
      <c r="I35" s="282"/>
    </row>
    <row r="36" spans="1:2" ht="38.25" customHeight="1">
      <c r="A36" s="30" t="s">
        <v>18</v>
      </c>
      <c r="B36" s="30"/>
    </row>
    <row r="37" spans="2:9" ht="19.5" customHeight="1">
      <c r="B37" s="30" t="s">
        <v>0</v>
      </c>
      <c r="C37" s="41"/>
      <c r="D37" s="41"/>
      <c r="E37" s="41"/>
      <c r="F37" s="41"/>
      <c r="G37" s="41"/>
      <c r="H37" s="41"/>
      <c r="I37" s="41"/>
    </row>
    <row r="38" spans="2:9" ht="19.5" customHeight="1">
      <c r="B38" s="30" t="s">
        <v>1</v>
      </c>
      <c r="C38" s="41"/>
      <c r="D38" s="41"/>
      <c r="E38" s="41"/>
      <c r="F38" s="41"/>
      <c r="G38" s="41"/>
      <c r="H38" s="41"/>
      <c r="I38" s="41"/>
    </row>
    <row r="42" spans="1:7" ht="12.75">
      <c r="A42" s="25">
        <f>HYPERLINK('[1]реквизиты'!$A$20)</f>
      </c>
      <c r="B42" s="29"/>
      <c r="C42" s="29"/>
      <c r="D42" s="29"/>
      <c r="E42" s="12"/>
      <c r="F42" s="42">
        <f>HYPERLINK('[1]реквизиты'!$G$20)</f>
      </c>
      <c r="G42" s="27">
        <f>HYPERLINK('[1]реквизиты'!$G$21)</f>
      </c>
    </row>
    <row r="43" spans="1:7" ht="12.75">
      <c r="A43" s="29"/>
      <c r="B43" s="29"/>
      <c r="C43" s="29"/>
      <c r="D43" s="29"/>
      <c r="E43" s="12"/>
      <c r="F43" s="64"/>
      <c r="G43" s="12"/>
    </row>
    <row r="44" spans="1:7" ht="12.75">
      <c r="A44" s="26">
        <f>HYPERLINK('[1]реквизиты'!$A$22)</f>
      </c>
      <c r="C44" s="29"/>
      <c r="D44" s="29"/>
      <c r="E44" s="26"/>
      <c r="F44" s="42">
        <f>HYPERLINK('[1]реквизиты'!$G$22)</f>
      </c>
      <c r="G44" s="28">
        <f>HYPERLINK('[1]реквизиты'!$G$23)</f>
      </c>
    </row>
    <row r="45" spans="3:6" ht="12.75">
      <c r="C45" s="12"/>
      <c r="D45" s="12"/>
      <c r="E45" s="12"/>
      <c r="F45" s="12"/>
    </row>
  </sheetData>
  <sheetProtection/>
  <mergeCells count="79">
    <mergeCell ref="E9:E10"/>
    <mergeCell ref="F9:F10"/>
    <mergeCell ref="F7:F8"/>
    <mergeCell ref="G7:G8"/>
    <mergeCell ref="H7:H8"/>
    <mergeCell ref="A5:A6"/>
    <mergeCell ref="B5:B6"/>
    <mergeCell ref="C5:C6"/>
    <mergeCell ref="D5:D6"/>
    <mergeCell ref="G5:G6"/>
    <mergeCell ref="G9:G10"/>
    <mergeCell ref="H9:H10"/>
    <mergeCell ref="A17:A18"/>
    <mergeCell ref="B17:B18"/>
    <mergeCell ref="C17:C18"/>
    <mergeCell ref="D17:D18"/>
    <mergeCell ref="A9:A10"/>
    <mergeCell ref="B9:B10"/>
    <mergeCell ref="C9:C10"/>
    <mergeCell ref="D9:D10"/>
    <mergeCell ref="A19:A20"/>
    <mergeCell ref="B19:B20"/>
    <mergeCell ref="C19:C20"/>
    <mergeCell ref="D19:D20"/>
    <mergeCell ref="A21:A22"/>
    <mergeCell ref="B21:B22"/>
    <mergeCell ref="C21:C22"/>
    <mergeCell ref="D21:D22"/>
    <mergeCell ref="E21:E22"/>
    <mergeCell ref="F21:F22"/>
    <mergeCell ref="G21:G22"/>
    <mergeCell ref="H21:H22"/>
    <mergeCell ref="G30:G31"/>
    <mergeCell ref="H30:H31"/>
    <mergeCell ref="A30:A31"/>
    <mergeCell ref="B30:B31"/>
    <mergeCell ref="C30:C31"/>
    <mergeCell ref="D30:D31"/>
    <mergeCell ref="F32:F33"/>
    <mergeCell ref="G32:G33"/>
    <mergeCell ref="H32:H33"/>
    <mergeCell ref="A32:A33"/>
    <mergeCell ref="B32:B33"/>
    <mergeCell ref="C32:C33"/>
    <mergeCell ref="D32:D33"/>
    <mergeCell ref="A34:A35"/>
    <mergeCell ref="B34:B35"/>
    <mergeCell ref="C34:C35"/>
    <mergeCell ref="D34:D35"/>
    <mergeCell ref="A1:I1"/>
    <mergeCell ref="E5:F6"/>
    <mergeCell ref="I5:I6"/>
    <mergeCell ref="I7:I8"/>
    <mergeCell ref="H5:H6"/>
    <mergeCell ref="A7:A8"/>
    <mergeCell ref="B7:B8"/>
    <mergeCell ref="C7:C8"/>
    <mergeCell ref="D7:D8"/>
    <mergeCell ref="E7:E8"/>
    <mergeCell ref="I9:I10"/>
    <mergeCell ref="E17:F18"/>
    <mergeCell ref="I17:I18"/>
    <mergeCell ref="I19:I20"/>
    <mergeCell ref="E19:E20"/>
    <mergeCell ref="F19:F20"/>
    <mergeCell ref="G19:G20"/>
    <mergeCell ref="H19:H20"/>
    <mergeCell ref="G17:G18"/>
    <mergeCell ref="H17:H18"/>
    <mergeCell ref="I34:I35"/>
    <mergeCell ref="I21:I22"/>
    <mergeCell ref="E30:F31"/>
    <mergeCell ref="I30:I31"/>
    <mergeCell ref="I32:I33"/>
    <mergeCell ref="E34:E35"/>
    <mergeCell ref="F34:F35"/>
    <mergeCell ref="G34:G35"/>
    <mergeCell ref="H34:H35"/>
    <mergeCell ref="E32:E3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X140"/>
  <sheetViews>
    <sheetView zoomScalePageLayoutView="0" workbookViewId="0" topLeftCell="A1">
      <selection activeCell="A138" sqref="A1:H138"/>
    </sheetView>
  </sheetViews>
  <sheetFormatPr defaultColWidth="9.140625" defaultRowHeight="12.75"/>
  <cols>
    <col min="1" max="1" width="6.28125" style="0" customWidth="1"/>
    <col min="2" max="2" width="8.28125" style="0" customWidth="1"/>
    <col min="3" max="3" width="26.140625" style="0" customWidth="1"/>
    <col min="4" max="4" width="13.28125" style="0" customWidth="1"/>
    <col min="5" max="5" width="7.57421875" style="0" customWidth="1"/>
    <col min="6" max="6" width="12.28125" style="0" customWidth="1"/>
    <col min="7" max="7" width="10.00390625" style="0" customWidth="1"/>
    <col min="8" max="8" width="19.57421875" style="0" customWidth="1"/>
    <col min="10" max="10" width="16.57421875" style="0" customWidth="1"/>
    <col min="11" max="11" width="9.140625" style="0" customWidth="1"/>
    <col min="12" max="18" width="9.140625" style="0" hidden="1" customWidth="1"/>
    <col min="19" max="19" width="5.57421875" style="0" customWidth="1"/>
    <col min="20" max="20" width="16.7109375" style="0" customWidth="1"/>
  </cols>
  <sheetData>
    <row r="1" spans="1:8" ht="30" customHeight="1" thickBot="1">
      <c r="A1" s="347" t="s">
        <v>29</v>
      </c>
      <c r="B1" s="347"/>
      <c r="C1" s="347"/>
      <c r="D1" s="347"/>
      <c r="E1" s="347"/>
      <c r="F1" s="347"/>
      <c r="G1" s="347"/>
      <c r="H1" s="347"/>
    </row>
    <row r="2" spans="2:8" ht="13.5" customHeight="1" thickBot="1">
      <c r="B2" s="348" t="s">
        <v>31</v>
      </c>
      <c r="C2" s="348"/>
      <c r="D2" s="538" t="str">
        <f>'[2]реквизиты'!$A$2</f>
        <v>Чемпионат России по  САМБО среди мужчин.</v>
      </c>
      <c r="E2" s="539"/>
      <c r="F2" s="539"/>
      <c r="G2" s="539"/>
      <c r="H2" s="540"/>
    </row>
    <row r="3" spans="2:8" ht="15" customHeight="1" thickBot="1">
      <c r="B3" s="529" t="str">
        <f>'[2]реквизиты'!$A$3</f>
        <v>4-8 марта 2016.                                                         г.Химки</v>
      </c>
      <c r="C3" s="529"/>
      <c r="D3" s="529"/>
      <c r="E3" s="529"/>
      <c r="F3" s="529"/>
      <c r="G3" s="529"/>
      <c r="H3" s="107" t="str">
        <f>'пр.взв.'!D4</f>
        <v>в.к. св 100 кг.</v>
      </c>
    </row>
    <row r="4" spans="1:24" ht="12.75" customHeight="1" thickBot="1">
      <c r="A4" s="566" t="s">
        <v>55</v>
      </c>
      <c r="B4" s="568" t="s">
        <v>3</v>
      </c>
      <c r="C4" s="570" t="s">
        <v>4</v>
      </c>
      <c r="D4" s="572" t="s">
        <v>5</v>
      </c>
      <c r="E4" s="560" t="s">
        <v>6</v>
      </c>
      <c r="F4" s="561"/>
      <c r="G4" s="547" t="s">
        <v>8</v>
      </c>
      <c r="H4" s="541" t="s">
        <v>7</v>
      </c>
      <c r="J4" s="528" t="str">
        <f>_xlfn.IFERROR(LEFT(F6,FIND(",",F6)-1),F6)</f>
        <v>Брянская Брянск ВС</v>
      </c>
      <c r="K4" s="522">
        <v>1</v>
      </c>
      <c r="L4" s="534" t="s">
        <v>76</v>
      </c>
      <c r="M4" s="536" t="s">
        <v>77</v>
      </c>
      <c r="N4" s="525"/>
      <c r="O4" s="526"/>
      <c r="P4" s="526"/>
      <c r="Q4" s="527"/>
      <c r="S4" s="532" t="s">
        <v>76</v>
      </c>
      <c r="T4" s="523" t="s">
        <v>77</v>
      </c>
      <c r="U4" s="525"/>
      <c r="V4" s="526"/>
      <c r="W4" s="526"/>
      <c r="X4" s="527"/>
    </row>
    <row r="5" spans="1:24" ht="9.75" customHeight="1" thickBot="1">
      <c r="A5" s="567"/>
      <c r="B5" s="569"/>
      <c r="C5" s="571"/>
      <c r="D5" s="573"/>
      <c r="E5" s="562"/>
      <c r="F5" s="563"/>
      <c r="G5" s="509"/>
      <c r="H5" s="542"/>
      <c r="J5" s="528"/>
      <c r="K5" s="522"/>
      <c r="L5" s="535"/>
      <c r="M5" s="537"/>
      <c r="N5" s="201">
        <v>1</v>
      </c>
      <c r="O5" s="202">
        <v>2</v>
      </c>
      <c r="P5" s="202">
        <v>3</v>
      </c>
      <c r="Q5" s="203">
        <v>5</v>
      </c>
      <c r="S5" s="533"/>
      <c r="T5" s="524"/>
      <c r="U5" s="218">
        <v>1</v>
      </c>
      <c r="V5" s="219">
        <v>2</v>
      </c>
      <c r="W5" s="219">
        <v>3</v>
      </c>
      <c r="X5" s="220">
        <v>5</v>
      </c>
    </row>
    <row r="6" spans="1:24" ht="11.25" customHeight="1">
      <c r="A6" s="564">
        <v>1</v>
      </c>
      <c r="B6" s="565">
        <f>'пр.хода'!M32</f>
        <v>29</v>
      </c>
      <c r="C6" s="574" t="str">
        <f>VLOOKUP(B6,'пр.взв.'!B$7:H$134,2,FALSE)</f>
        <v>ОСИПЕНКО Артем Иванович</v>
      </c>
      <c r="D6" s="575" t="str">
        <f>VLOOKUP(B6,'пр.взв.'!B$7:H$134,3,FALSE)</f>
        <v>27.05.88 змс</v>
      </c>
      <c r="E6" s="558" t="str">
        <f>VLOOKUP(B6,'пр.взв.'!B$7:H$134,4,FALSE)</f>
        <v>ЦФО</v>
      </c>
      <c r="F6" s="559" t="str">
        <f>VLOOKUP(B6,'пр.взв.'!B$7:H$142,5,FALSE)</f>
        <v>Брянская Брянск ВС</v>
      </c>
      <c r="G6" s="627" t="str">
        <f>VLOOKUP(B6,'пр.взв.'!B$7:H$139,6,FALSE)</f>
        <v> </v>
      </c>
      <c r="H6" s="543" t="str">
        <f>VLOOKUP(B6,'пр.взв.'!B$7:H$151,7,FALSE)</f>
        <v>Портнов СВ, Зубов РП</v>
      </c>
      <c r="J6" s="528" t="s">
        <v>78</v>
      </c>
      <c r="K6" s="522">
        <v>1</v>
      </c>
      <c r="L6" s="204">
        <v>1</v>
      </c>
      <c r="M6" s="205" t="s">
        <v>79</v>
      </c>
      <c r="N6" s="206">
        <f>SUMIF($J$4:$J$7,"Алт",$K$4:$K$7)</f>
        <v>0</v>
      </c>
      <c r="O6" s="206">
        <f>SUMIF($I$8:$J$9,"алт",$K$6:$K$9)</f>
        <v>0</v>
      </c>
      <c r="P6" s="207">
        <f>SUMIF($J$10:$J$13,"Алт",$K$10:$K$13)</f>
        <v>0</v>
      </c>
      <c r="Q6" s="207">
        <f>SUMIF($J$14:$J$17,"Алт",$K$14:$K$17)</f>
        <v>0</v>
      </c>
      <c r="S6" s="204">
        <v>1</v>
      </c>
      <c r="T6" s="221" t="str">
        <f>J4</f>
        <v>Брянская Брянск ВС</v>
      </c>
      <c r="U6" s="206">
        <f aca="true" t="shared" si="0" ref="U6:U11">SUMIF($J$4:$J$7,T6,$K$4:$K$7)</f>
        <v>1</v>
      </c>
      <c r="V6" s="206">
        <f aca="true" t="shared" si="1" ref="V6:V11">SUMIF($I$8:$J$9,T6,$K$6:$K$9)</f>
        <v>0</v>
      </c>
      <c r="W6" s="207">
        <f aca="true" t="shared" si="2" ref="W6:W11">SUMIF($J$10:$J$13,T6,$K$10:$K$13)</f>
        <v>0</v>
      </c>
      <c r="X6" s="207">
        <f aca="true" t="shared" si="3" ref="X6:X11">SUMIF($J$14:$J$17,T6,$K$14:$K$17)</f>
        <v>0</v>
      </c>
    </row>
    <row r="7" spans="1:24" ht="11.25" customHeight="1">
      <c r="A7" s="557"/>
      <c r="B7" s="553"/>
      <c r="C7" s="545"/>
      <c r="D7" s="546"/>
      <c r="E7" s="544"/>
      <c r="F7" s="277"/>
      <c r="G7" s="628"/>
      <c r="H7" s="530"/>
      <c r="J7" s="528"/>
      <c r="K7" s="522"/>
      <c r="L7" s="208">
        <v>2</v>
      </c>
      <c r="M7" s="205" t="s">
        <v>80</v>
      </c>
      <c r="N7" s="206">
        <f>SUMIF($J$4:$J$7,"заб",$K$4:$K$7)</f>
        <v>0</v>
      </c>
      <c r="O7" s="206">
        <f>SUMIF($I$8:$J$9,"заб",$K$6:$K$9)</f>
        <v>0</v>
      </c>
      <c r="P7" s="207">
        <f>SUMIF($J$10:$J$13,"заб",$K$10:$K$13)</f>
        <v>0</v>
      </c>
      <c r="Q7" s="207">
        <f>SUMIF($J$14:$J$17,"заб",$K$14:$K$17)</f>
        <v>0</v>
      </c>
      <c r="S7" s="208">
        <v>2</v>
      </c>
      <c r="T7" s="221" t="str">
        <f>IF(J8=J4," ",J8)</f>
        <v>Башкортостан Уфа Д</v>
      </c>
      <c r="U7" s="206">
        <f t="shared" si="0"/>
        <v>0</v>
      </c>
      <c r="V7" s="206">
        <f t="shared" si="1"/>
        <v>1</v>
      </c>
      <c r="W7" s="207">
        <f t="shared" si="2"/>
        <v>0</v>
      </c>
      <c r="X7" s="207">
        <f t="shared" si="3"/>
        <v>0</v>
      </c>
    </row>
    <row r="8" spans="1:24" ht="11.25" customHeight="1">
      <c r="A8" s="557">
        <v>2</v>
      </c>
      <c r="B8" s="553">
        <f>'пр.хода'!M40</f>
        <v>26</v>
      </c>
      <c r="C8" s="545" t="str">
        <f>VLOOKUP(B8,'пр.взв.'!B$7:H$134,2,FALSE)</f>
        <v>АРСЛАНОВ Рустем Разитович</v>
      </c>
      <c r="D8" s="546" t="str">
        <f>VLOOKUP(B8,'пр.взв.'!B$7:H$134,3,FALSE)</f>
        <v>31.07.80 мс</v>
      </c>
      <c r="E8" s="544" t="str">
        <f>VLOOKUP(B8,'пр.взв.'!B$7:H$134,4,FALSE)</f>
        <v>ПФО</v>
      </c>
      <c r="F8" s="277" t="str">
        <f>VLOOKUP(B8,'пр.взв.'!B$7:H$142,5,FALSE)</f>
        <v>Башкортостан Уфа Д</v>
      </c>
      <c r="G8" s="628" t="str">
        <f>VLOOKUP(B8,'пр.взв.'!B$7:H$139,6,FALSE)</f>
        <v> </v>
      </c>
      <c r="H8" s="530" t="str">
        <f>VLOOKUP(B8,'пр.взв.'!B$7:H$151,7,FALSE)</f>
        <v>Кобиашвили СР, Калюжный СИ</v>
      </c>
      <c r="J8" s="521" t="str">
        <f>_xlfn.IFERROR(LEFT(F8,FIND(",",F8)-1),F8)</f>
        <v>Башкортостан Уфа Д</v>
      </c>
      <c r="K8" s="522">
        <v>1</v>
      </c>
      <c r="L8" s="209">
        <v>3</v>
      </c>
      <c r="M8" s="205" t="s">
        <v>81</v>
      </c>
      <c r="N8" s="206">
        <f>SUMIF($J$4:$J$7,"ирк",$K$4:$K$7)</f>
        <v>0</v>
      </c>
      <c r="O8" s="206">
        <f>SUMIF($I$8:$J$9,"ирк",$K$6:$K$9)</f>
        <v>0</v>
      </c>
      <c r="P8" s="207">
        <f>SUMIF($J$10:$J$13,"ирк",$K$10:$K$13)</f>
        <v>0</v>
      </c>
      <c r="Q8" s="207">
        <f>SUMIF($J$14:$J$17,"ирк",$K$14:$K$17)</f>
        <v>0</v>
      </c>
      <c r="S8" s="209">
        <v>3</v>
      </c>
      <c r="T8" s="221" t="str">
        <f>IF(OR(J10=J4,J10=J8)," ",J10)</f>
        <v>Краснодарский</v>
      </c>
      <c r="U8" s="206">
        <f t="shared" si="0"/>
        <v>0</v>
      </c>
      <c r="V8" s="206">
        <f t="shared" si="1"/>
        <v>0</v>
      </c>
      <c r="W8" s="207">
        <f t="shared" si="2"/>
        <v>1</v>
      </c>
      <c r="X8" s="207">
        <f t="shared" si="3"/>
        <v>0</v>
      </c>
    </row>
    <row r="9" spans="1:24" ht="11.25" customHeight="1">
      <c r="A9" s="557"/>
      <c r="B9" s="553"/>
      <c r="C9" s="545"/>
      <c r="D9" s="546"/>
      <c r="E9" s="544"/>
      <c r="F9" s="277"/>
      <c r="G9" s="628"/>
      <c r="H9" s="530"/>
      <c r="J9" s="521"/>
      <c r="K9" s="522"/>
      <c r="L9" s="208">
        <v>4</v>
      </c>
      <c r="M9" s="205" t="s">
        <v>82</v>
      </c>
      <c r="N9" s="206">
        <f>SUMIF($J$4:$J$7,"кем",$K$4:$K$7)</f>
        <v>0</v>
      </c>
      <c r="O9" s="206">
        <f>SUMIF($I$8:$J$9,"кем",$K$6:$K$9)</f>
        <v>0</v>
      </c>
      <c r="P9" s="207">
        <f>SUMIF($J$10:$J$13,"кем",$K$10:$K$13)</f>
        <v>0</v>
      </c>
      <c r="Q9" s="207">
        <f>SUMIF($J$14:$J$17,"кем",$K$14:$K$17)</f>
        <v>0</v>
      </c>
      <c r="S9" s="208">
        <v>4</v>
      </c>
      <c r="T9" s="221" t="str">
        <f>IF(OR(J12=J4,J12=J8,J12=J10)," ",J12)</f>
        <v>г. Москва</v>
      </c>
      <c r="U9" s="206">
        <f t="shared" si="0"/>
        <v>0</v>
      </c>
      <c r="V9" s="206">
        <f t="shared" si="1"/>
        <v>0</v>
      </c>
      <c r="W9" s="207">
        <f t="shared" si="2"/>
        <v>1</v>
      </c>
      <c r="X9" s="207">
        <f t="shared" si="3"/>
        <v>0</v>
      </c>
    </row>
    <row r="10" spans="1:24" ht="11.25" customHeight="1">
      <c r="A10" s="557">
        <v>3</v>
      </c>
      <c r="B10" s="553">
        <f>'пр.хода'!R18</f>
        <v>12</v>
      </c>
      <c r="C10" s="545" t="str">
        <f>VLOOKUP(B10,'пр.взв.'!B$7:H$134,2,FALSE)</f>
        <v>АБУЛАДЗЕ Паата Венорович</v>
      </c>
      <c r="D10" s="546" t="str">
        <f>VLOOKUP(B10,'пр.взв.'!B$7:H$134,3,FALSE)</f>
        <v>15.06.91, КМС</v>
      </c>
      <c r="E10" s="544" t="str">
        <f>VLOOKUP(B10,'пр.взв.'!B$7:H$134,4,FALSE)</f>
        <v>ЮФО</v>
      </c>
      <c r="F10" s="277" t="str">
        <f>VLOOKUP(B10,'пр.взв.'!B$7:H$142,5,FALSE)</f>
        <v>Краснодарский, Краснодар Д</v>
      </c>
      <c r="G10" s="628">
        <f>VLOOKUP(B10,'пр.взв.'!B$7:H$139,6,FALSE)</f>
        <v>0</v>
      </c>
      <c r="H10" s="530" t="str">
        <f>VLOOKUP(B10,'пр.взв.'!B$7:H$151,7,FALSE)</f>
        <v>Алексанян Г.М.</v>
      </c>
      <c r="J10" s="521" t="str">
        <f>_xlfn.IFERROR(LEFT(F10,FIND(",",F10)-1),F10)</f>
        <v>Краснодарский</v>
      </c>
      <c r="K10" s="522">
        <v>1</v>
      </c>
      <c r="L10" s="209">
        <v>5</v>
      </c>
      <c r="M10" s="205" t="s">
        <v>83</v>
      </c>
      <c r="N10" s="206">
        <f>SUMIF($J$4:$J$7,"кра",$K$4:$K$7)</f>
        <v>0</v>
      </c>
      <c r="O10" s="206">
        <f>SUMIF($I$8:$J$9,"кра",$K$6:$K$9)</f>
        <v>0</v>
      </c>
      <c r="P10" s="207">
        <f>SUMIF($J$10:$J$13,"кра",$K$10:$K$13)</f>
        <v>0</v>
      </c>
      <c r="Q10" s="207">
        <f>SUMIF($J$14:$J$17,"кра",$K$14:$K$17)</f>
        <v>0</v>
      </c>
      <c r="S10" s="209">
        <v>5</v>
      </c>
      <c r="T10" s="221" t="str">
        <f>IF(OR(J14=J4,J14=J8,J14=J10,J14=J12)," ",J14)</f>
        <v>Свердловская</v>
      </c>
      <c r="U10" s="206">
        <f t="shared" si="0"/>
        <v>0</v>
      </c>
      <c r="V10" s="206">
        <f t="shared" si="1"/>
        <v>0</v>
      </c>
      <c r="W10" s="207">
        <f t="shared" si="2"/>
        <v>0</v>
      </c>
      <c r="X10" s="207">
        <f t="shared" si="3"/>
        <v>1</v>
      </c>
    </row>
    <row r="11" spans="1:24" ht="11.25" customHeight="1">
      <c r="A11" s="557"/>
      <c r="B11" s="553"/>
      <c r="C11" s="545"/>
      <c r="D11" s="546"/>
      <c r="E11" s="544"/>
      <c r="F11" s="277"/>
      <c r="G11" s="628"/>
      <c r="H11" s="530"/>
      <c r="J11" s="521"/>
      <c r="K11" s="522"/>
      <c r="L11" s="208">
        <v>6</v>
      </c>
      <c r="M11" s="205" t="s">
        <v>84</v>
      </c>
      <c r="N11" s="206">
        <f>SUMIF($J$4:$J$7,"нов",$K$4:$K$7)</f>
        <v>0</v>
      </c>
      <c r="O11" s="206">
        <f>SUMIF($I$8:$J$9,"нов",$K$6:$K$9)</f>
        <v>0</v>
      </c>
      <c r="P11" s="207">
        <f>SUMIF($J$10:$J$13,"нов",$K$10:$K$13)</f>
        <v>0</v>
      </c>
      <c r="Q11" s="207">
        <f>SUMIF($J$14:$J$17,"нов",$K$14:$K$17)</f>
        <v>0</v>
      </c>
      <c r="S11" s="208">
        <v>6</v>
      </c>
      <c r="T11" s="221" t="str">
        <f>IF(OR(J16=J4,J16=J8,J16=J10,J16=J12,J16=J14)," ",J16)</f>
        <v>Пермский</v>
      </c>
      <c r="U11" s="206">
        <f t="shared" si="0"/>
        <v>0</v>
      </c>
      <c r="V11" s="206">
        <f t="shared" si="1"/>
        <v>0</v>
      </c>
      <c r="W11" s="207">
        <f t="shared" si="2"/>
        <v>0</v>
      </c>
      <c r="X11" s="207">
        <f t="shared" si="3"/>
        <v>1</v>
      </c>
    </row>
    <row r="12" spans="1:24" ht="11.25" customHeight="1">
      <c r="A12" s="557">
        <v>3</v>
      </c>
      <c r="B12" s="553">
        <f>'пр.хода'!R67</f>
        <v>6</v>
      </c>
      <c r="C12" s="545" t="str">
        <f>VLOOKUP(B12,'пр.взв.'!B$7:H$134,2,FALSE)</f>
        <v>КУЧУМОВ Александр Николаевич</v>
      </c>
      <c r="D12" s="546" t="str">
        <f>VLOOKUP(B12,'пр.взв.'!B$7:H$134,3,FALSE)</f>
        <v>06.11.90, мсмк</v>
      </c>
      <c r="E12" s="544" t="str">
        <f>VLOOKUP(B12,'пр.взв.'!B$7:H$134,4,FALSE)</f>
        <v>МОС</v>
      </c>
      <c r="F12" s="277" t="str">
        <f>VLOOKUP(B12,'пр.взв.'!B$7:H$142,5,FALSE)</f>
        <v>г. Москва, Д</v>
      </c>
      <c r="G12" s="628" t="str">
        <f>VLOOKUP(B12,'пр.взв.'!B$7:H$139,6,FALSE)</f>
        <v> </v>
      </c>
      <c r="H12" s="530" t="str">
        <f>VLOOKUP(B12,'пр.взв.'!B$7:H$151,7,FALSE)</f>
        <v>Тиновицкий К.Г., Емельянова И.В. </v>
      </c>
      <c r="J12" s="521" t="str">
        <f>_xlfn.IFERROR(LEFT(F12,FIND(",",F12)-1),F12)</f>
        <v>г. Москва</v>
      </c>
      <c r="K12" s="522">
        <v>1</v>
      </c>
      <c r="L12" s="209">
        <v>7</v>
      </c>
      <c r="M12" s="205" t="s">
        <v>85</v>
      </c>
      <c r="N12" s="206">
        <f>SUMIF($J$4:$J$7,"омс",$K$4:$K$7)</f>
        <v>0</v>
      </c>
      <c r="O12" s="206">
        <f>SUMIF($I$8:$J$9,"омс",$K$6:$K$9)</f>
        <v>0</v>
      </c>
      <c r="P12" s="207">
        <f>SUMIF($J$10:$J$13,"омс",$K$10:$K$13)</f>
        <v>0</v>
      </c>
      <c r="Q12" s="207">
        <f>SUMIF($J$14:$J$17,"омс",$K$14:$K$17)</f>
        <v>0</v>
      </c>
      <c r="S12" s="210"/>
      <c r="T12" s="221" t="str">
        <f>IF(OR(J15=J7,J15=J11,J15=J13)," ",J15)</f>
        <v> </v>
      </c>
      <c r="U12" s="211"/>
      <c r="V12" s="211"/>
      <c r="W12" s="212"/>
      <c r="X12" s="212"/>
    </row>
    <row r="13" spans="1:24" ht="11.25" customHeight="1">
      <c r="A13" s="557"/>
      <c r="B13" s="553"/>
      <c r="C13" s="545"/>
      <c r="D13" s="546"/>
      <c r="E13" s="544"/>
      <c r="F13" s="277"/>
      <c r="G13" s="628"/>
      <c r="H13" s="530"/>
      <c r="J13" s="521"/>
      <c r="K13" s="522"/>
      <c r="L13" s="208">
        <v>8</v>
      </c>
      <c r="M13" s="205" t="s">
        <v>86</v>
      </c>
      <c r="N13" s="206">
        <f>SUMIF($J$4:$J$7,"р.а",$K$4:$K$7)</f>
        <v>0</v>
      </c>
      <c r="O13" s="206">
        <f>SUMIF($I$8:$J$9,"р.а",$K$6:$K$9)</f>
        <v>0</v>
      </c>
      <c r="P13" s="207">
        <f>SUMIF($J$10:$J$13,"р.а",$K$10:$K$13)</f>
        <v>0</v>
      </c>
      <c r="Q13" s="207">
        <f>SUMIF($J$14:$J$17,"р.а",$K$14:$K$17)</f>
        <v>0</v>
      </c>
      <c r="S13" s="213"/>
      <c r="T13" s="222" t="str">
        <f>IF(OR(J16=J8,J16=J12,J16=J14)," ",J16)</f>
        <v>Пермский</v>
      </c>
      <c r="U13" s="211"/>
      <c r="V13" s="211"/>
      <c r="W13" s="212"/>
      <c r="X13" s="212"/>
    </row>
    <row r="14" spans="1:24" ht="11.25" customHeight="1">
      <c r="A14" s="557">
        <v>5</v>
      </c>
      <c r="B14" s="553">
        <f>'пр.хода'!AM28</f>
        <v>5</v>
      </c>
      <c r="C14" s="545" t="str">
        <f>VLOOKUP(B14,'пр.взв.'!B$7:H$134,2,FALSE)</f>
        <v>ГЕНИЯТОВ Глеб Эдуардович</v>
      </c>
      <c r="D14" s="546" t="str">
        <f>VLOOKUP(B14,'пр.взв.'!B$7:H$134,3,FALSE)</f>
        <v>29.04.85, МС</v>
      </c>
      <c r="E14" s="544" t="str">
        <f>VLOOKUP(B14,'пр.взв.'!B$7:H$134,4,FALSE)</f>
        <v>УФО</v>
      </c>
      <c r="F14" s="277" t="str">
        <f>VLOOKUP(B14,'пр.взв.'!B$7:H$142,5,FALSE)</f>
        <v>Свердловская, Екатеринбург, ПР</v>
      </c>
      <c r="G14" s="628">
        <f>VLOOKUP(B14,'пр.взв.'!B$7:H$139,6,FALSE)</f>
        <v>0</v>
      </c>
      <c r="H14" s="530" t="str">
        <f>VLOOKUP(B14,'пр.взв.'!B$7:H$151,7,FALSE)</f>
        <v>Козлов А.А.</v>
      </c>
      <c r="J14" s="521" t="str">
        <f>_xlfn.IFERROR(LEFT(F14,FIND(",",F14)-1),F14)</f>
        <v>Свердловская</v>
      </c>
      <c r="K14" s="522">
        <v>1</v>
      </c>
      <c r="L14" s="209">
        <v>9</v>
      </c>
      <c r="M14" s="205" t="s">
        <v>87</v>
      </c>
      <c r="N14" s="206">
        <f>SUMIF($J$4:$J$7,"р.б",$K$4:$K$7)</f>
        <v>0</v>
      </c>
      <c r="O14" s="206">
        <f>SUMIF($I$8:$J$9,"р.б",$K$6:$K$9)</f>
        <v>0</v>
      </c>
      <c r="P14" s="207">
        <f>SUMIF($J$10:$J$13,"р.б",$K$10:$K$13)</f>
        <v>0</v>
      </c>
      <c r="Q14" s="207">
        <f>SUMIF($J$14:$J$17,"р.б",$K$14:$K$17)</f>
        <v>0</v>
      </c>
      <c r="S14" s="210"/>
      <c r="T14" s="223"/>
      <c r="U14" s="211"/>
      <c r="V14" s="211"/>
      <c r="W14" s="212"/>
      <c r="X14" s="212"/>
    </row>
    <row r="15" spans="1:24" ht="11.25" customHeight="1">
      <c r="A15" s="557"/>
      <c r="B15" s="553"/>
      <c r="C15" s="545"/>
      <c r="D15" s="546"/>
      <c r="E15" s="544"/>
      <c r="F15" s="277"/>
      <c r="G15" s="628"/>
      <c r="H15" s="530"/>
      <c r="J15" s="521"/>
      <c r="K15" s="522"/>
      <c r="L15" s="208">
        <v>10</v>
      </c>
      <c r="M15" s="205" t="s">
        <v>88</v>
      </c>
      <c r="N15" s="206">
        <f>SUMIF($J$4:$J$7,"р.х",$K$4:$K$7)</f>
        <v>0</v>
      </c>
      <c r="O15" s="206">
        <f>SUMIF($I$8:$J$9,"р.х",$K$6:$K$9)</f>
        <v>0</v>
      </c>
      <c r="P15" s="207">
        <f>SUMIF($J$10:$J$13,"р.х",$K$10:$K$13)</f>
        <v>0</v>
      </c>
      <c r="Q15" s="207">
        <f>SUMIF($J$14:$J$17,"р.х",$K$14:$K$17)</f>
        <v>0</v>
      </c>
      <c r="S15" s="213"/>
      <c r="T15" s="223"/>
      <c r="U15" s="211"/>
      <c r="V15" s="211"/>
      <c r="W15" s="212"/>
      <c r="X15" s="212"/>
    </row>
    <row r="16" spans="1:24" ht="11.25" customHeight="1">
      <c r="A16" s="557">
        <v>5</v>
      </c>
      <c r="B16" s="553">
        <f>'пр.хода'!AM29</f>
        <v>11</v>
      </c>
      <c r="C16" s="545" t="str">
        <f>VLOOKUP(B16,'пр.взв.'!B$7:H$134,2,FALSE)</f>
        <v>ЮСУФОВ Гаджи Чингизович</v>
      </c>
      <c r="D16" s="546" t="str">
        <f>VLOOKUP(B16,'пр.взв.'!B$7:H$134,3,FALSE)</f>
        <v>08.05.90, МС</v>
      </c>
      <c r="E16" s="544" t="str">
        <f>VLOOKUP(B16,'пр.взв.'!B$7:H$134,4,FALSE)</f>
        <v>ПФО</v>
      </c>
      <c r="F16" s="277" t="str">
        <f>VLOOKUP(B16,'пр.взв.'!B$7:H$142,5,FALSE)</f>
        <v>Пермский, Пермь, Д</v>
      </c>
      <c r="G16" s="628">
        <f>VLOOKUP(B16,'пр.взв.'!B$7:H$139,6,FALSE)</f>
        <v>0</v>
      </c>
      <c r="H16" s="530" t="str">
        <f>VLOOKUP(B16,'пр.взв.'!B$7:H$151,7,FALSE)</f>
        <v>Забалуев А.И., Пенжалиев А.К.</v>
      </c>
      <c r="J16" s="521" t="str">
        <f>_xlfn.IFERROR(LEFT(F16,FIND(",",F16)-1),F16)</f>
        <v>Пермский</v>
      </c>
      <c r="K16" s="522">
        <v>1</v>
      </c>
      <c r="L16" s="209">
        <v>11</v>
      </c>
      <c r="M16" s="214" t="s">
        <v>89</v>
      </c>
      <c r="N16" s="206">
        <f>SUMIF($J$4:$J$7,"том",$K$4:$K$7)</f>
        <v>0</v>
      </c>
      <c r="O16" s="206">
        <f>SUMIF($I$8:$J$9,"том",$K$6:$K$9)</f>
        <v>0</v>
      </c>
      <c r="P16" s="207">
        <f>SUMIF($J$10:$J$13,"том",$K$10:$K$13)</f>
        <v>0</v>
      </c>
      <c r="Q16" s="207">
        <f>SUMIF($J$14:$J$17,"том",$K$14:$K$17)</f>
        <v>0</v>
      </c>
      <c r="S16" s="210"/>
      <c r="T16" s="224"/>
      <c r="U16" s="211"/>
      <c r="V16" s="211"/>
      <c r="W16" s="212"/>
      <c r="X16" s="212"/>
    </row>
    <row r="17" spans="1:24" ht="11.25" customHeight="1" thickBot="1">
      <c r="A17" s="557"/>
      <c r="B17" s="553"/>
      <c r="C17" s="545"/>
      <c r="D17" s="546"/>
      <c r="E17" s="544"/>
      <c r="F17" s="277"/>
      <c r="G17" s="628"/>
      <c r="H17" s="530"/>
      <c r="J17" s="521"/>
      <c r="K17" s="522"/>
      <c r="L17" s="208">
        <v>12</v>
      </c>
      <c r="M17" s="214" t="s">
        <v>90</v>
      </c>
      <c r="N17" s="206">
        <f>SUMIF($J$4:$J$7,"",$K$4:$K$7)</f>
        <v>0</v>
      </c>
      <c r="O17" s="206">
        <f>SUMIF($I$8:$J$9,"т",$K$6:$K$9)</f>
        <v>0</v>
      </c>
      <c r="P17" s="207">
        <f>SUMIF($J$10:$J$13,"",$K$10:$K$13)</f>
        <v>0</v>
      </c>
      <c r="Q17" s="207">
        <f>SUMIF($J$14:$J$17,"",$K$14:$K$17)</f>
        <v>0</v>
      </c>
      <c r="S17" s="213"/>
      <c r="T17" s="224"/>
      <c r="U17" s="211"/>
      <c r="V17" s="211"/>
      <c r="W17" s="212"/>
      <c r="X17" s="212"/>
    </row>
    <row r="18" spans="1:24" ht="11.25" customHeight="1" thickBot="1">
      <c r="A18" s="623" t="s">
        <v>56</v>
      </c>
      <c r="B18" s="553">
        <f>'пр.хода'!AM25</f>
        <v>15</v>
      </c>
      <c r="C18" s="545" t="str">
        <f>VLOOKUP(B18,'пр.взв.'!B$7:H$134,2,FALSE)</f>
        <v>ХОРПЯКОВ Олег Вячеславович</v>
      </c>
      <c r="D18" s="546" t="str">
        <f>VLOOKUP(B18,'пр.взв.'!B$7:H$134,3,FALSE)</f>
        <v>28.02.77, МСМК</v>
      </c>
      <c r="E18" s="544" t="str">
        <f>VLOOKUP(B18,'пр.взв.'!B$7:H$134,4,FALSE)</f>
        <v>МОС</v>
      </c>
      <c r="F18" s="277" t="str">
        <f>VLOOKUP(B18,'пр.взв.'!B$7:H$142,5,FALSE)</f>
        <v>Москва, Д</v>
      </c>
      <c r="G18" s="628">
        <f>VLOOKUP(B18,'пр.взв.'!B$7:H$139,6,FALSE)</f>
        <v>0</v>
      </c>
      <c r="H18" s="530" t="str">
        <f>VLOOKUP(B18,'пр.взв.'!B$7:H$151,7,FALSE)</f>
        <v>Жиляев Д.С., Бобылев А.Б.</v>
      </c>
      <c r="L18" s="215"/>
      <c r="M18" s="216"/>
      <c r="N18" s="217">
        <f>SUM(N6:N17)</f>
        <v>0</v>
      </c>
      <c r="O18" s="217">
        <f>SUM(O6:O17)</f>
        <v>0</v>
      </c>
      <c r="P18" s="217">
        <f>SUM(P6:P17)</f>
        <v>0</v>
      </c>
      <c r="Q18" s="217">
        <f>SUM(Q6:Q17)</f>
        <v>0</v>
      </c>
      <c r="S18" s="225"/>
      <c r="T18" s="226"/>
      <c r="U18" s="217">
        <f>SUM(U6:U17)</f>
        <v>1</v>
      </c>
      <c r="V18" s="217">
        <f>SUM(V6:V17)</f>
        <v>1</v>
      </c>
      <c r="W18" s="217">
        <f>SUM(W6:W17)</f>
        <v>2</v>
      </c>
      <c r="X18" s="217">
        <f>SUM(X6:X17)</f>
        <v>2</v>
      </c>
    </row>
    <row r="19" spans="1:8" ht="11.25" customHeight="1">
      <c r="A19" s="623"/>
      <c r="B19" s="553"/>
      <c r="C19" s="545"/>
      <c r="D19" s="546"/>
      <c r="E19" s="544"/>
      <c r="F19" s="277"/>
      <c r="G19" s="628"/>
      <c r="H19" s="530"/>
    </row>
    <row r="20" spans="1:8" ht="11.25" customHeight="1">
      <c r="A20" s="623" t="s">
        <v>56</v>
      </c>
      <c r="B20" s="553">
        <f>'пр.хода'!AM26</f>
        <v>4</v>
      </c>
      <c r="C20" s="545" t="str">
        <f>VLOOKUP(B20,'пр.взв.'!B$7:H$134,2,FALSE)</f>
        <v>ШИРЯЕВ Максим Сергеевич</v>
      </c>
      <c r="D20" s="546" t="str">
        <f>VLOOKUP(B20,'пр.взв.'!B$7:H$134,3,FALSE)</f>
        <v>18.03.88, МСМК</v>
      </c>
      <c r="E20" s="544" t="str">
        <f>VLOOKUP(B20,'пр.взв.'!B$7:H$134,4,FALSE)</f>
        <v>МОС</v>
      </c>
      <c r="F20" s="277" t="str">
        <f>VLOOKUP(B20,'пр.взв.'!B$7:H$142,5,FALSE)</f>
        <v>Москва, ВС</v>
      </c>
      <c r="G20" s="628">
        <f>VLOOKUP(B20,'пр.взв.'!B$7:H$139,6,FALSE)</f>
        <v>0</v>
      </c>
      <c r="H20" s="530" t="str">
        <f>VLOOKUP(B20,'пр.взв.'!B$7:H$151,7,FALSE)</f>
        <v>Сейтайбдаев А.В., Юхарев С.С.</v>
      </c>
    </row>
    <row r="21" spans="1:8" ht="11.25" customHeight="1">
      <c r="A21" s="623"/>
      <c r="B21" s="553"/>
      <c r="C21" s="545"/>
      <c r="D21" s="546"/>
      <c r="E21" s="544"/>
      <c r="F21" s="277"/>
      <c r="G21" s="628"/>
      <c r="H21" s="530"/>
    </row>
    <row r="22" spans="1:8" ht="11.25" customHeight="1">
      <c r="A22" s="623" t="s">
        <v>62</v>
      </c>
      <c r="B22" s="553">
        <f>'пр.хода'!AM20</f>
        <v>17</v>
      </c>
      <c r="C22" s="545" t="str">
        <f>VLOOKUP(B22,'пр.взв.'!B$7:H$134,2,FALSE)</f>
        <v>САРИБЕКЯН Павел Андреевич</v>
      </c>
      <c r="D22" s="546" t="str">
        <f>VLOOKUP(B22,'пр.взв.'!B$7:H$134,3,FALSE)</f>
        <v>13.07.92, МС</v>
      </c>
      <c r="E22" s="544" t="str">
        <f>VLOOKUP(B22,'пр.взв.'!B$7:H$134,4,FALSE)</f>
        <v>ЮФО</v>
      </c>
      <c r="F22" s="277" t="str">
        <f>VLOOKUP(B22,'пр.взв.'!B$7:H$142,5,FALSE)</f>
        <v>Краснодарский край Курганинск, Д</v>
      </c>
      <c r="G22" s="628">
        <f>VLOOKUP(B22,'пр.взв.'!B$7:H$139,6,FALSE)</f>
        <v>0</v>
      </c>
      <c r="H22" s="530" t="str">
        <f>VLOOKUP(B22,'пр.взв.'!B$7:H$151,7,FALSE)</f>
        <v>Потапов ИС, Нефедов НИ </v>
      </c>
    </row>
    <row r="23" spans="1:8" ht="11.25" customHeight="1">
      <c r="A23" s="623"/>
      <c r="B23" s="553"/>
      <c r="C23" s="545"/>
      <c r="D23" s="546"/>
      <c r="E23" s="544"/>
      <c r="F23" s="277"/>
      <c r="G23" s="628"/>
      <c r="H23" s="530"/>
    </row>
    <row r="24" spans="1:8" ht="11.25" customHeight="1">
      <c r="A24" s="624" t="str">
        <f>$A$22</f>
        <v>9-12</v>
      </c>
      <c r="B24" s="553">
        <f>'пр.хода'!AM21</f>
        <v>10</v>
      </c>
      <c r="C24" s="545" t="str">
        <f>VLOOKUP(B24,'пр.взв.'!B$7:H$134,2,FALSE)</f>
        <v>МЕРЕТУКОВ Заур Довлетбиевич</v>
      </c>
      <c r="D24" s="546" t="str">
        <f>VLOOKUP(B24,'пр.взв.'!B$7:H$134,3,FALSE)</f>
        <v>08.10.93, КМС</v>
      </c>
      <c r="E24" s="544" t="str">
        <f>VLOOKUP(B24,'пр.взв.'!B$7:H$134,4,FALSE)</f>
        <v>МОС</v>
      </c>
      <c r="F24" s="277" t="str">
        <f>VLOOKUP(B24,'пр.взв.'!B$7:H$142,5,FALSE)</f>
        <v>Москва</v>
      </c>
      <c r="G24" s="628">
        <f>VLOOKUP(B24,'пр.взв.'!B$7:H$139,6,FALSE)</f>
        <v>0</v>
      </c>
      <c r="H24" s="530" t="str">
        <f>VLOOKUP(B24,'пр.взв.'!B$7:H$151,7,FALSE)</f>
        <v>Матюхин Ю.И.</v>
      </c>
    </row>
    <row r="25" spans="1:8" ht="11.25" customHeight="1">
      <c r="A25" s="625"/>
      <c r="B25" s="553"/>
      <c r="C25" s="545"/>
      <c r="D25" s="546"/>
      <c r="E25" s="544"/>
      <c r="F25" s="277"/>
      <c r="G25" s="628"/>
      <c r="H25" s="530"/>
    </row>
    <row r="26" spans="1:8" ht="11.25" customHeight="1">
      <c r="A26" s="624" t="str">
        <f>$A$22</f>
        <v>9-12</v>
      </c>
      <c r="B26" s="553">
        <f>'пр.хода'!AM22</f>
        <v>3</v>
      </c>
      <c r="C26" s="545" t="str">
        <f>VLOOKUP(B26,'пр.взв.'!B$7:H$134,2,FALSE)</f>
        <v>МГОЕВ Джамал Алиевич</v>
      </c>
      <c r="D26" s="546" t="str">
        <f>VLOOKUP(B26,'пр.взв.'!B$7:H$134,3,FALSE)</f>
        <v>23.07.95, КМС</v>
      </c>
      <c r="E26" s="544" t="str">
        <f>VLOOKUP(B26,'пр.взв.'!B$7:H$134,4,FALSE)</f>
        <v>ЮФО</v>
      </c>
      <c r="F26" s="277" t="str">
        <f>VLOOKUP(B26,'пр.взв.'!B$7:H$142,5,FALSE)</f>
        <v>Краснодарский, Краснодар Д</v>
      </c>
      <c r="G26" s="628">
        <f>VLOOKUP(B26,'пр.взв.'!B$7:H$139,6,FALSE)</f>
        <v>0</v>
      </c>
      <c r="H26" s="530" t="str">
        <f>VLOOKUP(B26,'пр.взв.'!B$7:H$151,7,FALSE)</f>
        <v>Евгеньев Э.В., Коновалов А.В.</v>
      </c>
    </row>
    <row r="27" spans="1:8" ht="11.25" customHeight="1">
      <c r="A27" s="625"/>
      <c r="B27" s="553"/>
      <c r="C27" s="545"/>
      <c r="D27" s="546"/>
      <c r="E27" s="544"/>
      <c r="F27" s="277"/>
      <c r="G27" s="628"/>
      <c r="H27" s="530"/>
    </row>
    <row r="28" spans="1:8" ht="11.25" customHeight="1">
      <c r="A28" s="624" t="str">
        <f>$A$22</f>
        <v>9-12</v>
      </c>
      <c r="B28" s="553">
        <f>'пр.хода'!AM23</f>
        <v>24</v>
      </c>
      <c r="C28" s="545" t="str">
        <f>VLOOKUP(B28,'пр.взв.'!B$7:H$134,2,FALSE)</f>
        <v>СТАРКОВ Михаил Александрович</v>
      </c>
      <c r="D28" s="546" t="str">
        <f>VLOOKUP(B28,'пр.взв.'!B$7:H$134,3,FALSE)</f>
        <v>13.07.77, МСМК</v>
      </c>
      <c r="E28" s="544" t="str">
        <f>VLOOKUP(B28,'пр.взв.'!B$7:H$134,4,FALSE)</f>
        <v>УФО</v>
      </c>
      <c r="F28" s="277" t="str">
        <f>VLOOKUP(B28,'пр.взв.'!B$7:H$142,5,FALSE)</f>
        <v>Свердловская, Екатеринбург, Д</v>
      </c>
      <c r="G28" s="628">
        <f>VLOOKUP(B28,'пр.взв.'!B$7:H$139,6,FALSE)</f>
        <v>0</v>
      </c>
      <c r="H28" s="530" t="str">
        <f>VLOOKUP(B28,'пр.взв.'!B$7:H$151,7,FALSE)</f>
        <v>Козлов А.А.</v>
      </c>
    </row>
    <row r="29" spans="1:8" ht="11.25" customHeight="1">
      <c r="A29" s="625"/>
      <c r="B29" s="553"/>
      <c r="C29" s="545"/>
      <c r="D29" s="546"/>
      <c r="E29" s="544"/>
      <c r="F29" s="277"/>
      <c r="G29" s="628"/>
      <c r="H29" s="530"/>
    </row>
    <row r="30" spans="1:8" ht="11.25" customHeight="1">
      <c r="A30" s="623" t="s">
        <v>63</v>
      </c>
      <c r="B30" s="553">
        <f>'пр.хода'!AM15</f>
        <v>13</v>
      </c>
      <c r="C30" s="545" t="str">
        <f>VLOOKUP(B30,'пр.взв.'!B$7:H$134,2,FALSE)</f>
        <v>КОМЛЕВ Роман Олегович</v>
      </c>
      <c r="D30" s="546" t="str">
        <f>VLOOKUP(B30,'пр.взв.'!B$7:H$134,3,FALSE)</f>
        <v>15.09.89, МС</v>
      </c>
      <c r="E30" s="544" t="str">
        <f>VLOOKUP(B30,'пр.взв.'!B$7:H$134,4,FALSE)</f>
        <v>СФО</v>
      </c>
      <c r="F30" s="277" t="str">
        <f>VLOOKUP(B30,'пр.взв.'!B$7:H$142,5,FALSE)</f>
        <v>Кемеровская, Новокузнецк, МО</v>
      </c>
      <c r="G30" s="628">
        <f>VLOOKUP(B30,'пр.взв.'!B$7:H$139,6,FALSE)</f>
        <v>0</v>
      </c>
      <c r="H30" s="530" t="str">
        <f>VLOOKUP(B30,'пр.взв.'!B$7:H$151,7,FALSE)</f>
        <v>Параскивопуло И.А. </v>
      </c>
    </row>
    <row r="31" spans="1:8" ht="11.25" customHeight="1">
      <c r="A31" s="623"/>
      <c r="B31" s="553"/>
      <c r="C31" s="545"/>
      <c r="D31" s="546"/>
      <c r="E31" s="544"/>
      <c r="F31" s="277"/>
      <c r="G31" s="628"/>
      <c r="H31" s="530"/>
    </row>
    <row r="32" spans="1:8" ht="11.25" customHeight="1">
      <c r="A32" s="623" t="s">
        <v>63</v>
      </c>
      <c r="B32" s="553">
        <f>'пр.хода'!AM16</f>
        <v>18</v>
      </c>
      <c r="C32" s="545" t="str">
        <f>VLOOKUP(B32,'пр.взв.'!B$7:H$134,2,FALSE)</f>
        <v>ХАПЦЕВ Артур Русланович</v>
      </c>
      <c r="D32" s="546" t="str">
        <f>VLOOKUP(B32,'пр.взв.'!B$7:H$134,3,FALSE)</f>
        <v>15.01.88, МС</v>
      </c>
      <c r="E32" s="544" t="str">
        <f>VLOOKUP(B32,'пр.взв.'!B$7:H$134,4,FALSE)</f>
        <v>УФО</v>
      </c>
      <c r="F32" s="277" t="str">
        <f>VLOOKUP(B32,'пр.взв.'!B$7:H$142,5,FALSE)</f>
        <v>Тюменская, Тюмень, Д</v>
      </c>
      <c r="G32" s="628">
        <f>VLOOKUP(B32,'пр.взв.'!B$7:H$139,6,FALSE)</f>
        <v>0</v>
      </c>
      <c r="H32" s="530" t="str">
        <f>VLOOKUP(B32,'пр.взв.'!B$7:H$151,7,FALSE)</f>
        <v>Иващенко В.С.</v>
      </c>
    </row>
    <row r="33" spans="1:8" ht="11.25" customHeight="1">
      <c r="A33" s="623"/>
      <c r="B33" s="553"/>
      <c r="C33" s="545"/>
      <c r="D33" s="546"/>
      <c r="E33" s="544"/>
      <c r="F33" s="277"/>
      <c r="G33" s="628"/>
      <c r="H33" s="530"/>
    </row>
    <row r="34" spans="1:8" ht="11.25" customHeight="1">
      <c r="A34" s="623" t="s">
        <v>63</v>
      </c>
      <c r="B34" s="553">
        <f>'пр.хода'!AM17</f>
        <v>27</v>
      </c>
      <c r="C34" s="545" t="str">
        <f>VLOOKUP(B34,'пр.взв.'!B$7:H$134,2,FALSE)</f>
        <v>ГИБАДУЛЛИН Игорь Витальевич</v>
      </c>
      <c r="D34" s="546" t="str">
        <f>VLOOKUP(B34,'пр.взв.'!B$7:H$134,3,FALSE)</f>
        <v>27.03.84, МСМК</v>
      </c>
      <c r="E34" s="544" t="str">
        <f>VLOOKUP(B34,'пр.взв.'!B$7:H$134,4,FALSE)</f>
        <v>УФО</v>
      </c>
      <c r="F34" s="277" t="str">
        <f>VLOOKUP(B34,'пр.взв.'!B$7:H$142,5,FALSE)</f>
        <v>Свердловская, Екатеринбург, ПР</v>
      </c>
      <c r="G34" s="628">
        <f>VLOOKUP(B34,'пр.взв.'!B$7:H$139,6,FALSE)</f>
        <v>0</v>
      </c>
      <c r="H34" s="530" t="str">
        <f>VLOOKUP(B34,'пр.взв.'!B$7:H$151,7,FALSE)</f>
        <v>Козлов А.А., Гибадуллин М.Т.</v>
      </c>
    </row>
    <row r="35" spans="1:8" ht="11.25" customHeight="1">
      <c r="A35" s="623"/>
      <c r="B35" s="553"/>
      <c r="C35" s="545"/>
      <c r="D35" s="546"/>
      <c r="E35" s="544"/>
      <c r="F35" s="277"/>
      <c r="G35" s="628"/>
      <c r="H35" s="530"/>
    </row>
    <row r="36" spans="1:8" ht="11.25" customHeight="1">
      <c r="A36" s="623" t="s">
        <v>63</v>
      </c>
      <c r="B36" s="553">
        <f>'пр.хода'!AM18</f>
        <v>28</v>
      </c>
      <c r="C36" s="545" t="str">
        <f>VLOOKUP(B36,'пр.взв.'!B$7:H$134,2,FALSE)</f>
        <v>БОБИКОВ Роман Николаевич</v>
      </c>
      <c r="D36" s="546" t="str">
        <f>VLOOKUP(B36,'пр.взв.'!B$7:H$134,3,FALSE)</f>
        <v>08.12.89, МС</v>
      </c>
      <c r="E36" s="544" t="str">
        <f>VLOOKUP(B36,'пр.взв.'!B$7:H$134,4,FALSE)</f>
        <v>ЦФО</v>
      </c>
      <c r="F36" s="277" t="str">
        <f>VLOOKUP(B36,'пр.взв.'!B$7:H$142,5,FALSE)</f>
        <v>Тверская, Тверь, Д</v>
      </c>
      <c r="G36" s="628">
        <f>VLOOKUP(B36,'пр.взв.'!B$7:H$139,6,FALSE)</f>
        <v>0</v>
      </c>
      <c r="H36" s="530" t="str">
        <f>VLOOKUP(B36,'пр.взв.'!B$7:H$151,7,FALSE)</f>
        <v>Каверзин П.И., Павлов В.В.</v>
      </c>
    </row>
    <row r="37" spans="1:8" ht="11.25" customHeight="1">
      <c r="A37" s="623"/>
      <c r="B37" s="553"/>
      <c r="C37" s="545"/>
      <c r="D37" s="546"/>
      <c r="E37" s="544"/>
      <c r="F37" s="277"/>
      <c r="G37" s="628"/>
      <c r="H37" s="530"/>
    </row>
    <row r="38" spans="1:8" ht="11.25" customHeight="1" hidden="1">
      <c r="A38" s="623" t="s">
        <v>66</v>
      </c>
      <c r="B38" s="553">
        <f>'пр.хода'!AM10</f>
        <v>61</v>
      </c>
      <c r="C38" s="545" t="e">
        <f>VLOOKUP(B38,'пр.взв.'!B$7:H$134,2,FALSE)</f>
        <v>#N/A</v>
      </c>
      <c r="D38" s="546" t="e">
        <f>VLOOKUP(B38,'пр.взв.'!B$7:H$134,3,FALSE)</f>
        <v>#N/A</v>
      </c>
      <c r="E38" s="544" t="e">
        <f>VLOOKUP(B38,'пр.взв.'!B$7:H$134,4,FALSE)</f>
        <v>#N/A</v>
      </c>
      <c r="F38" s="277" t="e">
        <f>VLOOKUP(B38,'пр.взв.'!B$7:H$142,5,FALSE)</f>
        <v>#N/A</v>
      </c>
      <c r="G38" s="628" t="e">
        <f>VLOOKUP(B38,'пр.взв.'!B$7:H$139,6,FALSE)</f>
        <v>#N/A</v>
      </c>
      <c r="H38" s="530" t="e">
        <f>VLOOKUP(B38,'пр.взв.'!B$7:H$151,7,FALSE)</f>
        <v>#N/A</v>
      </c>
    </row>
    <row r="39" spans="1:8" ht="11.25" customHeight="1" hidden="1">
      <c r="A39" s="623"/>
      <c r="B39" s="553"/>
      <c r="C39" s="545"/>
      <c r="D39" s="546"/>
      <c r="E39" s="544"/>
      <c r="F39" s="277"/>
      <c r="G39" s="628"/>
      <c r="H39" s="530"/>
    </row>
    <row r="40" spans="1:8" ht="11.25" customHeight="1" hidden="1">
      <c r="A40" s="623" t="s">
        <v>66</v>
      </c>
      <c r="B40" s="553">
        <f>'пр.хода'!AM11</f>
        <v>58</v>
      </c>
      <c r="C40" s="545" t="e">
        <f>VLOOKUP(B40,'пр.взв.'!B$7:H$134,2,FALSE)</f>
        <v>#N/A</v>
      </c>
      <c r="D40" s="546" t="e">
        <f>VLOOKUP(B40,'пр.взв.'!B$7:H$134,3,FALSE)</f>
        <v>#N/A</v>
      </c>
      <c r="E40" s="544" t="e">
        <f>VLOOKUP(B40,'пр.взв.'!B$7:H$134,4,FALSE)</f>
        <v>#N/A</v>
      </c>
      <c r="F40" s="277" t="e">
        <f>VLOOKUP(B40,'пр.взв.'!B$7:H$142,5,FALSE)</f>
        <v>#N/A</v>
      </c>
      <c r="G40" s="628" t="e">
        <f>VLOOKUP(B40,'пр.взв.'!B$7:H$139,6,FALSE)</f>
        <v>#N/A</v>
      </c>
      <c r="H40" s="530" t="e">
        <f>VLOOKUP(B40,'пр.взв.'!B$7:H$151,7,FALSE)</f>
        <v>#N/A</v>
      </c>
    </row>
    <row r="41" spans="1:8" ht="11.25" customHeight="1" hidden="1">
      <c r="A41" s="623"/>
      <c r="B41" s="553"/>
      <c r="C41" s="545"/>
      <c r="D41" s="546"/>
      <c r="E41" s="544"/>
      <c r="F41" s="277"/>
      <c r="G41" s="628"/>
      <c r="H41" s="530"/>
    </row>
    <row r="42" spans="1:8" ht="11.25" customHeight="1" hidden="1">
      <c r="A42" s="623" t="s">
        <v>66</v>
      </c>
      <c r="B42" s="553">
        <f>'пр.хода'!AM12</f>
        <v>43</v>
      </c>
      <c r="C42" s="545" t="e">
        <f>VLOOKUP(B42,'пр.взв.'!B$7:H$134,2,FALSE)</f>
        <v>#N/A</v>
      </c>
      <c r="D42" s="546" t="e">
        <f>VLOOKUP(B42,'пр.взв.'!B$7:H$134,3,FALSE)</f>
        <v>#N/A</v>
      </c>
      <c r="E42" s="544" t="e">
        <f>VLOOKUP(B42,'пр.взв.'!B$7:H$134,4,FALSE)</f>
        <v>#N/A</v>
      </c>
      <c r="F42" s="277" t="e">
        <f>VLOOKUP(B42,'пр.взв.'!B$7:H$142,5,FALSE)</f>
        <v>#N/A</v>
      </c>
      <c r="G42" s="628" t="e">
        <f>VLOOKUP(B42,'пр.взв.'!B$7:H$139,6,FALSE)</f>
        <v>#N/A</v>
      </c>
      <c r="H42" s="530" t="e">
        <f>VLOOKUP(B42,'пр.взв.'!B$7:H$151,7,FALSE)</f>
        <v>#N/A</v>
      </c>
    </row>
    <row r="43" spans="1:8" ht="11.25" customHeight="1" hidden="1">
      <c r="A43" s="623"/>
      <c r="B43" s="553"/>
      <c r="C43" s="545"/>
      <c r="D43" s="546"/>
      <c r="E43" s="544"/>
      <c r="F43" s="277"/>
      <c r="G43" s="628"/>
      <c r="H43" s="530"/>
    </row>
    <row r="44" spans="1:8" ht="11.25" customHeight="1" hidden="1">
      <c r="A44" s="623" t="s">
        <v>66</v>
      </c>
      <c r="B44" s="553">
        <f>'пр.хода'!AM13</f>
        <v>44</v>
      </c>
      <c r="C44" s="545" t="e">
        <f>VLOOKUP(B44,'пр.взв.'!B$7:H$134,2,FALSE)</f>
        <v>#N/A</v>
      </c>
      <c r="D44" s="546" t="e">
        <f>VLOOKUP(B44,'пр.взв.'!B$7:H$134,3,FALSE)</f>
        <v>#N/A</v>
      </c>
      <c r="E44" s="544" t="e">
        <f>VLOOKUP(B44,'пр.взв.'!B$7:H$134,4,FALSE)</f>
        <v>#N/A</v>
      </c>
      <c r="F44" s="277" t="e">
        <f>VLOOKUP(B44,'пр.взв.'!B$7:H$142,5,FALSE)</f>
        <v>#N/A</v>
      </c>
      <c r="G44" s="628" t="e">
        <f>VLOOKUP(B44,'пр.взв.'!B$7:H$139,6,FALSE)</f>
        <v>#N/A</v>
      </c>
      <c r="H44" s="530" t="e">
        <f>VLOOKUP(B44,'пр.взв.'!B$7:H$151,7,FALSE)</f>
        <v>#N/A</v>
      </c>
    </row>
    <row r="45" spans="1:8" ht="11.25" customHeight="1" hidden="1">
      <c r="A45" s="623"/>
      <c r="B45" s="553"/>
      <c r="C45" s="545"/>
      <c r="D45" s="546"/>
      <c r="E45" s="544"/>
      <c r="F45" s="277"/>
      <c r="G45" s="628"/>
      <c r="H45" s="530"/>
    </row>
    <row r="46" spans="1:8" ht="11.25" customHeight="1">
      <c r="A46" s="623" t="s">
        <v>66</v>
      </c>
      <c r="B46" s="553">
        <f>'пр.хода'!AL11</f>
        <v>9</v>
      </c>
      <c r="C46" s="545" t="str">
        <f>VLOOKUP(B46,'пр.взв.'!B$7:H$134,2,FALSE)</f>
        <v>ДЬЯКОНОВ Иван Викторович</v>
      </c>
      <c r="D46" s="546" t="str">
        <f>VLOOKUP(B46,'пр.взв.'!B$7:H$134,3,FALSE)</f>
        <v>27.08.86 мс</v>
      </c>
      <c r="E46" s="544" t="str">
        <f>VLOOKUP(B46,'пр.взв.'!B$7:H$134,4,FALSE)</f>
        <v>СЗФО</v>
      </c>
      <c r="F46" s="277" t="str">
        <f>VLOOKUP(B46,'пр.взв.'!B$7:H$142,5,FALSE)</f>
        <v> Коми Сыктывкар МО</v>
      </c>
      <c r="G46" s="628" t="str">
        <f>VLOOKUP(B46,'пр.взв.'!B$7:H$139,6,FALSE)</f>
        <v> </v>
      </c>
      <c r="H46" s="530" t="str">
        <f>VLOOKUP(B46,'пр.взв.'!B$7:H$151,7,FALSE)</f>
        <v>Данилов АК  </v>
      </c>
    </row>
    <row r="47" spans="1:8" ht="11.25" customHeight="1">
      <c r="A47" s="623"/>
      <c r="B47" s="553"/>
      <c r="C47" s="545"/>
      <c r="D47" s="546"/>
      <c r="E47" s="544"/>
      <c r="F47" s="277"/>
      <c r="G47" s="628"/>
      <c r="H47" s="530"/>
    </row>
    <row r="48" spans="1:8" ht="11.25" customHeight="1">
      <c r="A48" s="626" t="s">
        <v>66</v>
      </c>
      <c r="B48" s="553">
        <f>'пр.хода'!AL29</f>
        <v>14</v>
      </c>
      <c r="C48" s="545" t="str">
        <f>VLOOKUP(B48,'пр.взв.'!B$7:H$134,2,FALSE)</f>
        <v>КУНДУКОВ Роман Николаевич</v>
      </c>
      <c r="D48" s="546" t="str">
        <f>VLOOKUP(B48,'пр.взв.'!B$7:H$134,3,FALSE)</f>
        <v>11.11.93, кмс</v>
      </c>
      <c r="E48" s="544" t="str">
        <f>VLOOKUP(B48,'пр.взв.'!B$7:H$134,4,FALSE)</f>
        <v>СЗФО</v>
      </c>
      <c r="F48" s="277" t="str">
        <f>VLOOKUP(B48,'пр.взв.'!B$7:H$142,5,FALSE)</f>
        <v>Ленинградская об., Выборг МО</v>
      </c>
      <c r="G48" s="628">
        <f>VLOOKUP(B48,'пр.взв.'!B$7:H$139,6,FALSE)</f>
        <v>0</v>
      </c>
      <c r="H48" s="530" t="str">
        <f>VLOOKUP(B48,'пр.взв.'!B$7:H$151,7,FALSE)</f>
        <v>Голубев А.Б.</v>
      </c>
    </row>
    <row r="49" spans="1:8" ht="11.25" customHeight="1">
      <c r="A49" s="626"/>
      <c r="B49" s="553"/>
      <c r="C49" s="545"/>
      <c r="D49" s="546"/>
      <c r="E49" s="544"/>
      <c r="F49" s="277"/>
      <c r="G49" s="628"/>
      <c r="H49" s="530"/>
    </row>
    <row r="50" spans="1:8" ht="11.25" customHeight="1">
      <c r="A50" s="626" t="s">
        <v>66</v>
      </c>
      <c r="B50" s="553">
        <f>'пр.хода'!AL20</f>
        <v>7</v>
      </c>
      <c r="C50" s="545" t="str">
        <f>VLOOKUP(B50,'пр.взв.'!B$7:H$134,2,FALSE)</f>
        <v>БАЙРАМУКОВ Таулан Хасанович</v>
      </c>
      <c r="D50" s="546" t="str">
        <f>VLOOKUP(B50,'пр.взв.'!B$7:H$134,3,FALSE)</f>
        <v>09.01.1991, МС</v>
      </c>
      <c r="E50" s="544" t="str">
        <f>VLOOKUP(B50,'пр.взв.'!B$7:H$134,4,FALSE)</f>
        <v>СКФО</v>
      </c>
      <c r="F50" s="277" t="str">
        <f>VLOOKUP(B50,'пр.взв.'!B$7:H$142,5,FALSE)</f>
        <v>КЧР, ВС</v>
      </c>
      <c r="G50" s="628" t="str">
        <f>VLOOKUP(B50,'пр.взв.'!B$7:H$139,6,FALSE)</f>
        <v>-</v>
      </c>
      <c r="H50" s="530" t="str">
        <f>VLOOKUP(B50,'пр.взв.'!B$7:H$151,7,FALSE)</f>
        <v>Пчелкин В.И.</v>
      </c>
    </row>
    <row r="51" spans="1:8" ht="11.25" customHeight="1">
      <c r="A51" s="626"/>
      <c r="B51" s="553"/>
      <c r="C51" s="545"/>
      <c r="D51" s="546"/>
      <c r="E51" s="544"/>
      <c r="F51" s="277"/>
      <c r="G51" s="628"/>
      <c r="H51" s="530"/>
    </row>
    <row r="52" spans="1:8" ht="11.25" customHeight="1">
      <c r="A52" s="626" t="s">
        <v>66</v>
      </c>
      <c r="B52" s="553">
        <f>'пр.хода'!AL39</f>
        <v>32</v>
      </c>
      <c r="C52" s="545" t="str">
        <f>VLOOKUP(B52,'пр.взв.'!B$7:H$134,2,FALSE)</f>
        <v>ТУНАКОВ Александр Сергеевич</v>
      </c>
      <c r="D52" s="546" t="str">
        <f>VLOOKUP(B52,'пр.взв.'!B$7:H$134,3,FALSE)</f>
        <v>25.08.94, МС</v>
      </c>
      <c r="E52" s="544" t="str">
        <f>VLOOKUP(B52,'пр.взв.'!B$7:H$134,4,FALSE)</f>
        <v>ПФО</v>
      </c>
      <c r="F52" s="277" t="str">
        <f>VLOOKUP(B52,'пр.взв.'!B$7:H$142,5,FALSE)</f>
        <v>Нижегородская, Н.Новгород, ПР</v>
      </c>
      <c r="G52" s="628">
        <f>VLOOKUP(B52,'пр.взв.'!B$7:H$139,6,FALSE)</f>
        <v>0</v>
      </c>
      <c r="H52" s="530" t="str">
        <f>VLOOKUP(B52,'пр.взв.'!B$7:H$151,7,FALSE)</f>
        <v>Мокеичев А.В., Симанов М.В.</v>
      </c>
    </row>
    <row r="53" spans="1:8" ht="11.25" customHeight="1">
      <c r="A53" s="626"/>
      <c r="B53" s="553"/>
      <c r="C53" s="545"/>
      <c r="D53" s="546"/>
      <c r="E53" s="544"/>
      <c r="F53" s="277"/>
      <c r="G53" s="628"/>
      <c r="H53" s="530"/>
    </row>
    <row r="54" spans="1:8" ht="11.25" customHeight="1">
      <c r="A54" s="623" t="s">
        <v>281</v>
      </c>
      <c r="B54" s="553">
        <f>'пр.хода'!AK11</f>
        <v>25</v>
      </c>
      <c r="C54" s="545" t="str">
        <f>VLOOKUP(B54,'пр.взв.'!B$7:H$134,2,FALSE)</f>
        <v>ЧЕРНЫШОВ Антон Геннадьевич</v>
      </c>
      <c r="D54" s="546" t="str">
        <f>VLOOKUP(B54,'пр.взв.'!B$7:H$134,3,FALSE)</f>
        <v>15.11.92, МС</v>
      </c>
      <c r="E54" s="544" t="str">
        <f>VLOOKUP(B54,'пр.взв.'!B$7:H$134,4,FALSE)</f>
        <v>МОС</v>
      </c>
      <c r="F54" s="277" t="str">
        <f>VLOOKUP(B54,'пр.взв.'!B$7:H$142,5,FALSE)</f>
        <v>Москва, ЛОК</v>
      </c>
      <c r="G54" s="628">
        <f>VLOOKUP(B54,'пр.взв.'!B$7:H$139,6,FALSE)</f>
        <v>0</v>
      </c>
      <c r="H54" s="530" t="str">
        <f>VLOOKUP(B54,'пр.взв.'!B$7:H$151,7,FALSE)</f>
        <v>Рощупкин Н.А.</v>
      </c>
    </row>
    <row r="55" spans="1:8" ht="11.25" customHeight="1">
      <c r="A55" s="623"/>
      <c r="B55" s="553"/>
      <c r="C55" s="545"/>
      <c r="D55" s="546"/>
      <c r="E55" s="544"/>
      <c r="F55" s="277"/>
      <c r="G55" s="628"/>
      <c r="H55" s="530"/>
    </row>
    <row r="56" spans="1:8" ht="11.25" customHeight="1">
      <c r="A56" s="626" t="s">
        <v>281</v>
      </c>
      <c r="B56" s="553">
        <f>'пр.хода'!AK29</f>
        <v>22</v>
      </c>
      <c r="C56" s="545" t="str">
        <f>VLOOKUP(B56,'пр.взв.'!B$7:H$134,2,FALSE)</f>
        <v>ГЛАДКОВ Алексей Иванович</v>
      </c>
      <c r="D56" s="546" t="str">
        <f>VLOOKUP(B56,'пр.взв.'!B$7:H$134,3,FALSE)</f>
        <v>24.11.85, МС</v>
      </c>
      <c r="E56" s="544" t="str">
        <f>VLOOKUP(B56,'пр.взв.'!B$7:H$134,4,FALSE)</f>
        <v>СПБ</v>
      </c>
      <c r="F56" s="277" t="str">
        <f>VLOOKUP(B56,'пр.взв.'!B$7:H$142,5,FALSE)</f>
        <v>С-Петербург, Д</v>
      </c>
      <c r="G56" s="628">
        <f>VLOOKUP(B56,'пр.взв.'!B$7:H$139,6,FALSE)</f>
        <v>0</v>
      </c>
      <c r="H56" s="530" t="str">
        <f>VLOOKUP(B56,'пр.взв.'!B$7:H$151,7,FALSE)</f>
        <v>Романов К.И.</v>
      </c>
    </row>
    <row r="57" spans="1:8" ht="11.25" customHeight="1">
      <c r="A57" s="626"/>
      <c r="B57" s="553"/>
      <c r="C57" s="545"/>
      <c r="D57" s="546"/>
      <c r="E57" s="544"/>
      <c r="F57" s="277"/>
      <c r="G57" s="628"/>
      <c r="H57" s="530"/>
    </row>
    <row r="58" spans="1:8" ht="11.25" customHeight="1">
      <c r="A58" s="626" t="s">
        <v>281</v>
      </c>
      <c r="B58" s="553">
        <f>'пр.хода'!AK20</f>
        <v>23</v>
      </c>
      <c r="C58" s="545" t="str">
        <f>VLOOKUP(B58,'пр.взв.'!B$7:H$134,2,FALSE)</f>
        <v>МИХАЛЬЧЕНКО Роман Александрович</v>
      </c>
      <c r="D58" s="546" t="str">
        <f>VLOOKUP(B58,'пр.взв.'!B$7:H$134,3,FALSE)</f>
        <v>27.06.87 мсмк</v>
      </c>
      <c r="E58" s="544" t="str">
        <f>VLOOKUP(B58,'пр.взв.'!B$7:H$134,4,FALSE)</f>
        <v>УФО</v>
      </c>
      <c r="F58" s="277" t="str">
        <f>VLOOKUP(B58,'пр.взв.'!B$7:H$142,5,FALSE)</f>
        <v>Курганская Курган МО</v>
      </c>
      <c r="G58" s="628" t="str">
        <f>VLOOKUP(B58,'пр.взв.'!B$7:H$139,6,FALSE)</f>
        <v> </v>
      </c>
      <c r="H58" s="530" t="str">
        <f>VLOOKUP(B58,'пр.взв.'!B$7:H$151,7,FALSE)</f>
        <v>Стенников МГ</v>
      </c>
    </row>
    <row r="59" spans="1:8" ht="11.25" customHeight="1">
      <c r="A59" s="626"/>
      <c r="B59" s="553"/>
      <c r="C59" s="545"/>
      <c r="D59" s="546"/>
      <c r="E59" s="544"/>
      <c r="F59" s="277"/>
      <c r="G59" s="628"/>
      <c r="H59" s="530"/>
    </row>
    <row r="60" spans="1:8" ht="11.25" customHeight="1">
      <c r="A60" s="626" t="s">
        <v>281</v>
      </c>
      <c r="B60" s="553">
        <f>'пр.хода'!AK39</f>
        <v>8</v>
      </c>
      <c r="C60" s="545" t="str">
        <f>VLOOKUP(B60,'пр.взв.'!B$7:H$134,2,FALSE)</f>
        <v>ТАРАСЕНКО Владимир Владимирович</v>
      </c>
      <c r="D60" s="546" t="str">
        <f>VLOOKUP(B60,'пр.взв.'!B$7:H$134,3,FALSE)</f>
        <v>25.01.91, МС</v>
      </c>
      <c r="E60" s="544" t="str">
        <f>VLOOKUP(B60,'пр.взв.'!B$7:H$134,4,FALSE)</f>
        <v>СКФО</v>
      </c>
      <c r="F60" s="277" t="str">
        <f>VLOOKUP(B60,'пр.взв.'!B$7:H$142,5,FALSE)</f>
        <v>Ставропольский, Михайловск, Д</v>
      </c>
      <c r="G60" s="628">
        <f>VLOOKUP(B60,'пр.взв.'!B$7:H$139,6,FALSE)</f>
        <v>0</v>
      </c>
      <c r="H60" s="530" t="str">
        <f>VLOOKUP(B60,'пр.взв.'!B$7:H$151,7,FALSE)</f>
        <v>Забирко А.В., Волобуев В.В.</v>
      </c>
    </row>
    <row r="61" spans="1:8" ht="11.25" customHeight="1">
      <c r="A61" s="626"/>
      <c r="B61" s="553"/>
      <c r="C61" s="545"/>
      <c r="D61" s="546"/>
      <c r="E61" s="544"/>
      <c r="F61" s="277"/>
      <c r="G61" s="628"/>
      <c r="H61" s="530"/>
    </row>
    <row r="62" spans="1:8" ht="12.75" customHeight="1">
      <c r="A62" s="626" t="s">
        <v>281</v>
      </c>
      <c r="B62" s="553">
        <f>'пр.хода'!AK10</f>
        <v>1</v>
      </c>
      <c r="C62" s="545" t="str">
        <f>VLOOKUP(B62,'пр.взв.'!B$7:H$134,2,FALSE)</f>
        <v>ДЕМЕНКОВ Александр Михайлович</v>
      </c>
      <c r="D62" s="546" t="str">
        <f>VLOOKUP(B62,'пр.взв.'!B$7:H$134,3,FALSE)</f>
        <v>14.09.97, КМС</v>
      </c>
      <c r="E62" s="544" t="str">
        <f>VLOOKUP(B62,'пр.взв.'!B$7:H$134,4,FALSE)</f>
        <v>МОС</v>
      </c>
      <c r="F62" s="277" t="str">
        <f>VLOOKUP(B62,'пр.взв.'!B$7:H$142,5,FALSE)</f>
        <v>Москва, Д</v>
      </c>
      <c r="G62" s="628">
        <f>VLOOKUP(B62,'пр.взв.'!B$7:H$139,6,FALSE)</f>
        <v>0</v>
      </c>
      <c r="H62" s="530" t="str">
        <f>VLOOKUP(B62,'пр.взв.'!B$7:H$151,7,FALSE)</f>
        <v>Киселёв С.Н., Фунтиков П.В.</v>
      </c>
    </row>
    <row r="63" spans="1:8" ht="12.75" customHeight="1">
      <c r="A63" s="626"/>
      <c r="B63" s="553"/>
      <c r="C63" s="545"/>
      <c r="D63" s="546"/>
      <c r="E63" s="544"/>
      <c r="F63" s="277"/>
      <c r="G63" s="628"/>
      <c r="H63" s="530"/>
    </row>
    <row r="64" spans="1:8" ht="12.75" customHeight="1">
      <c r="A64" s="626" t="s">
        <v>281</v>
      </c>
      <c r="B64" s="553">
        <f>'пр.хода'!AK28</f>
        <v>2</v>
      </c>
      <c r="C64" s="545" t="str">
        <f>VLOOKUP(B64,'пр.взв.'!B$7:H$134,2,FALSE)</f>
        <v>МЕДВЕДЕВ Виктор Алексеевич</v>
      </c>
      <c r="D64" s="546" t="str">
        <f>VLOOKUP(B64,'пр.взв.'!B$7:H$134,3,FALSE)</f>
        <v>16.06.94 мс</v>
      </c>
      <c r="E64" s="544" t="str">
        <f>VLOOKUP(B64,'пр.взв.'!B$7:H$134,4,FALSE)</f>
        <v>ЦФО</v>
      </c>
      <c r="F64" s="277" t="str">
        <f>VLOOKUP(B64,'пр.взв.'!B$7:H$142,5,FALSE)</f>
        <v>Московская, Мытищи</v>
      </c>
      <c r="G64" s="628">
        <f>VLOOKUP(B64,'пр.взв.'!B$7:H$139,6,FALSE)</f>
        <v>0</v>
      </c>
      <c r="H64" s="530" t="str">
        <f>VLOOKUP(B64,'пр.взв.'!B$7:H$151,7,FALSE)</f>
        <v>Потапов АВ, Борисов ОЮ</v>
      </c>
    </row>
    <row r="65" spans="1:8" ht="12.75" customHeight="1">
      <c r="A65" s="626"/>
      <c r="B65" s="553"/>
      <c r="C65" s="545"/>
      <c r="D65" s="546"/>
      <c r="E65" s="544"/>
      <c r="F65" s="277"/>
      <c r="G65" s="628"/>
      <c r="H65" s="530"/>
    </row>
    <row r="66" spans="1:8" ht="11.25" customHeight="1">
      <c r="A66" s="626" t="s">
        <v>281</v>
      </c>
      <c r="B66" s="553">
        <f>'пр.хода'!AK19</f>
        <v>19</v>
      </c>
      <c r="C66" s="545" t="str">
        <f>VLOOKUP(B66,'пр.взв.'!B$7:H$134,2,FALSE)</f>
        <v>КУЛИКОВ Александр Сергеевич</v>
      </c>
      <c r="D66" s="546" t="str">
        <f>VLOOKUP(B66,'пр.взв.'!B$7:H$134,3,FALSE)</f>
        <v>11.11.790, МС</v>
      </c>
      <c r="E66" s="544" t="str">
        <f>VLOOKUP(B66,'пр.взв.'!B$7:H$134,4,FALSE)</f>
        <v>УФО</v>
      </c>
      <c r="F66" s="277" t="str">
        <f>VLOOKUP(B66,'пр.взв.'!B$7:H$142,5,FALSE)</f>
        <v>Свердловская, Екатеринбург, ПР</v>
      </c>
      <c r="G66" s="628">
        <f>VLOOKUP(B66,'пр.взв.'!B$7:H$139,6,FALSE)</f>
        <v>0</v>
      </c>
      <c r="H66" s="530" t="str">
        <f>VLOOKUP(B66,'пр.взв.'!B$7:H$151,7,FALSE)</f>
        <v>Козлов А.А.</v>
      </c>
    </row>
    <row r="67" spans="1:8" ht="11.25" customHeight="1">
      <c r="A67" s="626"/>
      <c r="B67" s="553"/>
      <c r="C67" s="545"/>
      <c r="D67" s="546"/>
      <c r="E67" s="544"/>
      <c r="F67" s="277"/>
      <c r="G67" s="628"/>
      <c r="H67" s="530"/>
    </row>
    <row r="68" spans="1:8" ht="11.25" customHeight="1">
      <c r="A68" s="626" t="s">
        <v>281</v>
      </c>
      <c r="B68" s="553">
        <f>'пр.хода'!AK38</f>
        <v>20</v>
      </c>
      <c r="C68" s="545" t="str">
        <f>VLOOKUP(B68,'пр.взв.'!B$7:H$134,2,FALSE)</f>
        <v>АЛДУШИН Александр Игоревич</v>
      </c>
      <c r="D68" s="546" t="str">
        <f>VLOOKUP(B68,'пр.взв.'!B$7:H$134,3,FALSE)</f>
        <v>04.10.93, МС</v>
      </c>
      <c r="E68" s="544" t="str">
        <f>VLOOKUP(B68,'пр.взв.'!B$7:H$134,4,FALSE)</f>
        <v>УФО</v>
      </c>
      <c r="F68" s="277" t="str">
        <f>VLOOKUP(B68,'пр.взв.'!B$7:H$142,5,FALSE)</f>
        <v>Свердловская, Н.Тагил</v>
      </c>
      <c r="G68" s="628">
        <f>VLOOKUP(B68,'пр.взв.'!B$7:H$139,6,FALSE)</f>
        <v>0</v>
      </c>
      <c r="H68" s="530" t="str">
        <f>VLOOKUP(B68,'пр.взв.'!B$7:H$151,7,FALSE)</f>
        <v>Перминов И.Р.</v>
      </c>
    </row>
    <row r="69" spans="1:8" ht="11.25" customHeight="1">
      <c r="A69" s="626"/>
      <c r="B69" s="553"/>
      <c r="C69" s="545"/>
      <c r="D69" s="546"/>
      <c r="E69" s="544"/>
      <c r="F69" s="277"/>
      <c r="G69" s="628"/>
      <c r="H69" s="530"/>
    </row>
    <row r="70" spans="1:8" ht="11.25" customHeight="1">
      <c r="A70" s="626" t="s">
        <v>281</v>
      </c>
      <c r="B70" s="553">
        <f>'пр.хода'!AK12</f>
        <v>21</v>
      </c>
      <c r="C70" s="545" t="str">
        <f>VLOOKUP(B70,'пр.взв.'!B$7:H$134,2,FALSE)</f>
        <v>ЛУКЬЯНОВ Святослав Сергеевич</v>
      </c>
      <c r="D70" s="546" t="str">
        <f>VLOOKUP(B70,'пр.взв.'!B$7:H$134,3,FALSE)</f>
        <v>26.04.91 мс</v>
      </c>
      <c r="E70" s="544" t="str">
        <f>VLOOKUP(B70,'пр.взв.'!B$7:H$134,4,FALSE)</f>
        <v>КФО</v>
      </c>
      <c r="F70" s="277" t="str">
        <f>VLOOKUP(B70,'пр.взв.'!B$7:H$142,5,FALSE)</f>
        <v>Р. Крым, Евпатория</v>
      </c>
      <c r="G70" s="628">
        <f>VLOOKUP(B70,'пр.взв.'!B$7:H$139,6,FALSE)</f>
        <v>0</v>
      </c>
      <c r="H70" s="530" t="str">
        <f>VLOOKUP(B70,'пр.взв.'!B$7:H$151,7,FALSE)</f>
        <v>Ковригина МС</v>
      </c>
    </row>
    <row r="71" spans="1:8" ht="11.25" customHeight="1">
      <c r="A71" s="626"/>
      <c r="B71" s="553"/>
      <c r="C71" s="545"/>
      <c r="D71" s="546"/>
      <c r="E71" s="544"/>
      <c r="F71" s="277"/>
      <c r="G71" s="628"/>
      <c r="H71" s="530"/>
    </row>
    <row r="72" spans="1:8" ht="11.25" customHeight="1">
      <c r="A72" s="626" t="s">
        <v>281</v>
      </c>
      <c r="B72" s="553">
        <f>'пр.хода'!AK30</f>
        <v>30</v>
      </c>
      <c r="C72" s="545" t="str">
        <f>VLOOKUP(B72,'пр.взв.'!B$7:H$134,2,FALSE)</f>
        <v>ТАЧКОВ Иван Дмитриевич</v>
      </c>
      <c r="D72" s="546" t="str">
        <f>VLOOKUP(B72,'пр.взв.'!B$7:H$134,3,FALSE)</f>
        <v>25.03.97 мс</v>
      </c>
      <c r="E72" s="544" t="str">
        <f>VLOOKUP(B72,'пр.взв.'!B$7:H$134,4,FALSE)</f>
        <v>УФО</v>
      </c>
      <c r="F72" s="277" t="str">
        <f>VLOOKUP(B72,'пр.взв.'!B$7:H$142,5,FALSE)</f>
        <v>Курганская, Курган</v>
      </c>
      <c r="G72" s="628">
        <f>VLOOKUP(B72,'пр.взв.'!B$7:H$139,6,FALSE)</f>
        <v>0</v>
      </c>
      <c r="H72" s="530" t="str">
        <f>VLOOKUP(B72,'пр.взв.'!B$7:H$151,7,FALSE)</f>
        <v>Бородин ОБ, Воронов ВВ</v>
      </c>
    </row>
    <row r="73" spans="1:8" ht="11.25" customHeight="1">
      <c r="A73" s="626"/>
      <c r="B73" s="553"/>
      <c r="C73" s="545"/>
      <c r="D73" s="546"/>
      <c r="E73" s="544"/>
      <c r="F73" s="277"/>
      <c r="G73" s="628"/>
      <c r="H73" s="530"/>
    </row>
    <row r="74" spans="1:8" ht="11.25" customHeight="1">
      <c r="A74" s="626" t="s">
        <v>281</v>
      </c>
      <c r="B74" s="553">
        <f>'пр.хода'!AK21</f>
        <v>31</v>
      </c>
      <c r="C74" s="545" t="str">
        <f>VLOOKUP(B74,'пр.взв.'!B$7:H$134,2,FALSE)</f>
        <v>САЛАМАХА Николай Анатольевич</v>
      </c>
      <c r="D74" s="546" t="str">
        <f>VLOOKUP(B74,'пр.взв.'!B$7:H$134,3,FALSE)</f>
        <v>02.01.1991, кмс</v>
      </c>
      <c r="E74" s="544" t="str">
        <f>VLOOKUP(B74,'пр.взв.'!B$7:H$134,4,FALSE)</f>
        <v>СЕВ</v>
      </c>
      <c r="F74" s="277" t="str">
        <f>VLOOKUP(B74,'пр.взв.'!B$7:H$142,5,FALSE)</f>
        <v>Севастополь</v>
      </c>
      <c r="G74" s="628">
        <f>VLOOKUP(B74,'пр.взв.'!B$7:H$139,6,FALSE)</f>
        <v>0</v>
      </c>
      <c r="H74" s="530" t="str">
        <f>VLOOKUP(B74,'пр.взв.'!B$7:H$151,7,FALSE)</f>
        <v>Рухадзе З.А.</v>
      </c>
    </row>
    <row r="75" spans="1:8" ht="11.25" customHeight="1">
      <c r="A75" s="626"/>
      <c r="B75" s="553"/>
      <c r="C75" s="545"/>
      <c r="D75" s="546"/>
      <c r="E75" s="544"/>
      <c r="F75" s="277"/>
      <c r="G75" s="628"/>
      <c r="H75" s="530"/>
    </row>
    <row r="76" spans="1:8" ht="11.25" customHeight="1">
      <c r="A76" s="626" t="s">
        <v>281</v>
      </c>
      <c r="B76" s="553">
        <f>'пр.хода'!AK40</f>
        <v>16</v>
      </c>
      <c r="C76" s="545" t="str">
        <f>VLOOKUP(B76,'пр.взв.'!B$7:H$134,2,FALSE)</f>
        <v>ГОНЧАРУК Роман Михайлович</v>
      </c>
      <c r="D76" s="546" t="str">
        <f>VLOOKUP(B76,'пр.взв.'!B$7:H$134,3,FALSE)</f>
        <v>24.06.93, МС</v>
      </c>
      <c r="E76" s="544" t="str">
        <f>VLOOKUP(B76,'пр.взв.'!B$7:H$134,4,FALSE)</f>
        <v>МОС</v>
      </c>
      <c r="F76" s="277" t="str">
        <f>VLOOKUP(B76,'пр.взв.'!B$7:H$142,5,FALSE)</f>
        <v>Москва</v>
      </c>
      <c r="G76" s="628">
        <f>VLOOKUP(B76,'пр.взв.'!B$7:H$139,6,FALSE)</f>
        <v>0</v>
      </c>
      <c r="H76" s="530" t="str">
        <f>VLOOKUP(B76,'пр.взв.'!B$7:H$151,7,FALSE)</f>
        <v>Журавицкий С.В., Журавицкий А.В.</v>
      </c>
    </row>
    <row r="77" spans="1:8" ht="11.25" customHeight="1">
      <c r="A77" s="626"/>
      <c r="B77" s="553"/>
      <c r="C77" s="545"/>
      <c r="D77" s="546"/>
      <c r="E77" s="544"/>
      <c r="F77" s="277"/>
      <c r="G77" s="628"/>
      <c r="H77" s="530"/>
    </row>
    <row r="78" spans="1:8" ht="11.25" customHeight="1" hidden="1">
      <c r="A78" s="623" t="s">
        <v>65</v>
      </c>
      <c r="B78" s="553">
        <f>'пр.хода'!AI13</f>
        <v>57</v>
      </c>
      <c r="C78" s="545" t="e">
        <f>VLOOKUP(B78,'пр.взв.'!B$7:H$134,2,FALSE)</f>
        <v>#N/A</v>
      </c>
      <c r="D78" s="546" t="e">
        <f>VLOOKUP(B78,'пр.взв.'!B$7:H$134,3,FALSE)</f>
        <v>#N/A</v>
      </c>
      <c r="E78" s="544" t="e">
        <f>VLOOKUP(B78,'пр.взв.'!B$7:H$134,4,FALSE)</f>
        <v>#N/A</v>
      </c>
      <c r="F78" s="277" t="e">
        <f>VLOOKUP(B78,'пр.взв.'!B$7:H$142,5,FALSE)</f>
        <v>#N/A</v>
      </c>
      <c r="G78" s="628" t="e">
        <f>VLOOKUP(B78,'пр.взв.'!B$7:H$139,6,FALSE)</f>
        <v>#N/A</v>
      </c>
      <c r="H78" s="530" t="e">
        <f>VLOOKUP(B78,'пр.взв.'!B$7:H$151,7,FALSE)</f>
        <v>#N/A</v>
      </c>
    </row>
    <row r="79" spans="1:8" ht="11.25" customHeight="1" hidden="1">
      <c r="A79" s="623"/>
      <c r="B79" s="553"/>
      <c r="C79" s="545"/>
      <c r="D79" s="546"/>
      <c r="E79" s="544"/>
      <c r="F79" s="277"/>
      <c r="G79" s="628"/>
      <c r="H79" s="530"/>
    </row>
    <row r="80" spans="1:8" ht="11.25" customHeight="1" hidden="1">
      <c r="A80" s="623" t="s">
        <v>65</v>
      </c>
      <c r="B80" s="553">
        <f>'пр.хода'!AI31</f>
        <v>38</v>
      </c>
      <c r="C80" s="545" t="e">
        <f>VLOOKUP(B80,'пр.взв.'!B$7:H$134,2,FALSE)</f>
        <v>#N/A</v>
      </c>
      <c r="D80" s="546" t="e">
        <f>VLOOKUP(B80,'пр.взв.'!B$7:H$134,3,FALSE)</f>
        <v>#N/A</v>
      </c>
      <c r="E80" s="544" t="e">
        <f>VLOOKUP(B80,'пр.взв.'!B$7:H$134,4,FALSE)</f>
        <v>#N/A</v>
      </c>
      <c r="F80" s="277" t="e">
        <f>VLOOKUP(B80,'пр.взв.'!B$7:H$142,5,FALSE)</f>
        <v>#N/A</v>
      </c>
      <c r="G80" s="628" t="e">
        <f>VLOOKUP(B80,'пр.взв.'!B$7:H$139,6,FALSE)</f>
        <v>#N/A</v>
      </c>
      <c r="H80" s="530" t="e">
        <f>VLOOKUP(B80,'пр.взв.'!B$7:H$151,7,FALSE)</f>
        <v>#N/A</v>
      </c>
    </row>
    <row r="81" spans="1:8" ht="11.25" customHeight="1" hidden="1">
      <c r="A81" s="623"/>
      <c r="B81" s="553"/>
      <c r="C81" s="545"/>
      <c r="D81" s="546"/>
      <c r="E81" s="544"/>
      <c r="F81" s="277"/>
      <c r="G81" s="628"/>
      <c r="H81" s="530"/>
    </row>
    <row r="82" spans="1:8" ht="11.25" customHeight="1" hidden="1">
      <c r="A82" s="623" t="s">
        <v>65</v>
      </c>
      <c r="B82" s="553">
        <f>'пр.хода'!AI22</f>
        <v>39</v>
      </c>
      <c r="C82" s="545" t="e">
        <f>VLOOKUP(B82,'пр.взв.'!B$7:H$134,2,FALSE)</f>
        <v>#N/A</v>
      </c>
      <c r="D82" s="546" t="e">
        <f>VLOOKUP(B82,'пр.взв.'!B$7:H$134,3,FALSE)</f>
        <v>#N/A</v>
      </c>
      <c r="E82" s="544" t="e">
        <f>VLOOKUP(B82,'пр.взв.'!B$7:H$134,4,FALSE)</f>
        <v>#N/A</v>
      </c>
      <c r="F82" s="277" t="e">
        <f>VLOOKUP(B82,'пр.взв.'!B$7:H$142,5,FALSE)</f>
        <v>#N/A</v>
      </c>
      <c r="G82" s="628" t="e">
        <f>VLOOKUP(B82,'пр.взв.'!B$7:H$139,6,FALSE)</f>
        <v>#N/A</v>
      </c>
      <c r="H82" s="530" t="e">
        <f>VLOOKUP(B82,'пр.взв.'!B$7:H$151,7,FALSE)</f>
        <v>#N/A</v>
      </c>
    </row>
    <row r="83" spans="1:8" ht="11.25" customHeight="1" hidden="1">
      <c r="A83" s="623"/>
      <c r="B83" s="553"/>
      <c r="C83" s="545"/>
      <c r="D83" s="546"/>
      <c r="E83" s="544"/>
      <c r="F83" s="277"/>
      <c r="G83" s="628"/>
      <c r="H83" s="530"/>
    </row>
    <row r="84" spans="1:8" ht="11.25" customHeight="1" hidden="1">
      <c r="A84" s="623" t="s">
        <v>65</v>
      </c>
      <c r="B84" s="553">
        <f>'пр.хода'!AI41</f>
        <v>40</v>
      </c>
      <c r="C84" s="545" t="e">
        <f>VLOOKUP(B84,'пр.взв.'!B$7:H$134,2,FALSE)</f>
        <v>#N/A</v>
      </c>
      <c r="D84" s="546" t="e">
        <f>VLOOKUP(B84,'пр.взв.'!B$7:H$134,3,FALSE)</f>
        <v>#N/A</v>
      </c>
      <c r="E84" s="544" t="e">
        <f>VLOOKUP(B84,'пр.взв.'!B$7:H$134,4,FALSE)</f>
        <v>#N/A</v>
      </c>
      <c r="F84" s="277" t="e">
        <f>VLOOKUP(B84,'пр.взв.'!B$7:H$142,5,FALSE)</f>
        <v>#N/A</v>
      </c>
      <c r="G84" s="628" t="e">
        <f>VLOOKUP(B84,'пр.взв.'!B$7:H$139,6,FALSE)</f>
        <v>#N/A</v>
      </c>
      <c r="H84" s="530" t="e">
        <f>VLOOKUP(B84,'пр.взв.'!B$7:H$151,7,FALSE)</f>
        <v>#N/A</v>
      </c>
    </row>
    <row r="85" spans="1:8" ht="11.25" customHeight="1" hidden="1">
      <c r="A85" s="623"/>
      <c r="B85" s="553"/>
      <c r="C85" s="545"/>
      <c r="D85" s="546"/>
      <c r="E85" s="544"/>
      <c r="F85" s="277"/>
      <c r="G85" s="628"/>
      <c r="H85" s="530"/>
    </row>
    <row r="86" spans="1:8" ht="11.25" customHeight="1" hidden="1">
      <c r="A86" s="623" t="s">
        <v>65</v>
      </c>
      <c r="B86" s="553">
        <f>'пр.хода'!AI11</f>
        <v>49</v>
      </c>
      <c r="C86" s="545" t="e">
        <f>VLOOKUP(B86,'пр.взв.'!B$7:H$134,2,FALSE)</f>
        <v>#N/A</v>
      </c>
      <c r="D86" s="546" t="e">
        <f>VLOOKUP(B86,'пр.взв.'!B$7:H$134,3,FALSE)</f>
        <v>#N/A</v>
      </c>
      <c r="E86" s="544" t="e">
        <f>VLOOKUP(B86,'пр.взв.'!B$7:H$134,4,FALSE)</f>
        <v>#N/A</v>
      </c>
      <c r="F86" s="277" t="e">
        <f>VLOOKUP(B86,'пр.взв.'!B$7:H$142,5,FALSE)</f>
        <v>#N/A</v>
      </c>
      <c r="G86" s="628" t="e">
        <f>VLOOKUP(B86,'пр.взв.'!B$7:H$139,6,FALSE)</f>
        <v>#N/A</v>
      </c>
      <c r="H86" s="530" t="e">
        <f>VLOOKUP(B86,'пр.взв.'!B$7:H$151,7,FALSE)</f>
        <v>#N/A</v>
      </c>
    </row>
    <row r="87" spans="1:8" ht="11.25" customHeight="1" hidden="1">
      <c r="A87" s="623"/>
      <c r="B87" s="553"/>
      <c r="C87" s="545"/>
      <c r="D87" s="546"/>
      <c r="E87" s="544"/>
      <c r="F87" s="277"/>
      <c r="G87" s="628"/>
      <c r="H87" s="530"/>
    </row>
    <row r="88" spans="1:8" ht="11.25" customHeight="1" hidden="1">
      <c r="A88" s="623" t="s">
        <v>65</v>
      </c>
      <c r="B88" s="553">
        <f>'пр.хода'!AI29</f>
        <v>50</v>
      </c>
      <c r="C88" s="545" t="e">
        <f>VLOOKUP(B88,'пр.взв.'!B$7:H$134,2,FALSE)</f>
        <v>#N/A</v>
      </c>
      <c r="D88" s="546" t="e">
        <f>VLOOKUP(B88,'пр.взв.'!B$7:H$134,3,FALSE)</f>
        <v>#N/A</v>
      </c>
      <c r="E88" s="544" t="e">
        <f>VLOOKUP(B88,'пр.взв.'!B$7:H$134,4,FALSE)</f>
        <v>#N/A</v>
      </c>
      <c r="F88" s="277" t="e">
        <f>VLOOKUP(B88,'пр.взв.'!B$7:H$142,5,FALSE)</f>
        <v>#N/A</v>
      </c>
      <c r="G88" s="628" t="e">
        <f>VLOOKUP(B88,'пр.взв.'!B$7:H$139,6,FALSE)</f>
        <v>#N/A</v>
      </c>
      <c r="H88" s="530" t="e">
        <f>VLOOKUP(B88,'пр.взв.'!B$7:H$151,7,FALSE)</f>
        <v>#N/A</v>
      </c>
    </row>
    <row r="89" spans="1:8" ht="11.25" customHeight="1" hidden="1">
      <c r="A89" s="623"/>
      <c r="B89" s="553"/>
      <c r="C89" s="545"/>
      <c r="D89" s="546"/>
      <c r="E89" s="544"/>
      <c r="F89" s="277"/>
      <c r="G89" s="628"/>
      <c r="H89" s="530"/>
    </row>
    <row r="90" spans="1:8" ht="11.25" customHeight="1" hidden="1">
      <c r="A90" s="623" t="s">
        <v>65</v>
      </c>
      <c r="B90" s="553">
        <f>'пр.хода'!AI20</f>
        <v>51</v>
      </c>
      <c r="C90" s="545" t="e">
        <f>VLOOKUP(B90,'пр.взв.'!B$7:H$134,2,FALSE)</f>
        <v>#N/A</v>
      </c>
      <c r="D90" s="546" t="e">
        <f>VLOOKUP(B90,'пр.взв.'!B$7:H$134,3,FALSE)</f>
        <v>#N/A</v>
      </c>
      <c r="E90" s="544" t="e">
        <f>VLOOKUP(B90,'пр.взв.'!B$7:H$134,4,FALSE)</f>
        <v>#N/A</v>
      </c>
      <c r="F90" s="277" t="e">
        <f>VLOOKUP(B90,'пр.взв.'!B$7:H$142,5,FALSE)</f>
        <v>#N/A</v>
      </c>
      <c r="G90" s="628" t="e">
        <f>VLOOKUP(B90,'пр.взв.'!B$7:H$139,6,FALSE)</f>
        <v>#N/A</v>
      </c>
      <c r="H90" s="530" t="e">
        <f>VLOOKUP(B90,'пр.взв.'!B$7:H$151,7,FALSE)</f>
        <v>#N/A</v>
      </c>
    </row>
    <row r="91" spans="1:8" ht="11.25" customHeight="1" hidden="1">
      <c r="A91" s="623"/>
      <c r="B91" s="553"/>
      <c r="C91" s="545"/>
      <c r="D91" s="546"/>
      <c r="E91" s="544"/>
      <c r="F91" s="277"/>
      <c r="G91" s="628"/>
      <c r="H91" s="530"/>
    </row>
    <row r="92" spans="1:8" ht="12.75" customHeight="1" hidden="1">
      <c r="A92" s="623" t="s">
        <v>65</v>
      </c>
      <c r="B92" s="553">
        <f>'пр.хода'!AI39</f>
        <v>52</v>
      </c>
      <c r="C92" s="545" t="e">
        <f>VLOOKUP(B92,'пр.взв.'!B$7:H$134,2,FALSE)</f>
        <v>#N/A</v>
      </c>
      <c r="D92" s="546" t="e">
        <f>VLOOKUP(B92,'пр.взв.'!B$7:H$134,3,FALSE)</f>
        <v>#N/A</v>
      </c>
      <c r="E92" s="544" t="e">
        <f>VLOOKUP(B92,'пр.взв.'!B$7:H$134,4,FALSE)</f>
        <v>#N/A</v>
      </c>
      <c r="F92" s="277" t="e">
        <f>VLOOKUP(B92,'пр.взв.'!B$7:H$142,5,FALSE)</f>
        <v>#N/A</v>
      </c>
      <c r="G92" s="628" t="e">
        <f>VLOOKUP(B92,'пр.взв.'!B$7:H$139,6,FALSE)</f>
        <v>#N/A</v>
      </c>
      <c r="H92" s="530" t="e">
        <f>VLOOKUP(B92,'пр.взв.'!B$7:H$151,7,FALSE)</f>
        <v>#N/A</v>
      </c>
    </row>
    <row r="93" spans="1:8" ht="12.75" hidden="1">
      <c r="A93" s="623"/>
      <c r="B93" s="553"/>
      <c r="C93" s="545"/>
      <c r="D93" s="546"/>
      <c r="E93" s="544"/>
      <c r="F93" s="277"/>
      <c r="G93" s="628"/>
      <c r="H93" s="530"/>
    </row>
    <row r="94" spans="1:8" ht="12.75" hidden="1">
      <c r="A94" s="623" t="s">
        <v>65</v>
      </c>
      <c r="B94" s="553">
        <f>'пр.хода'!AI15</f>
        <v>53</v>
      </c>
      <c r="C94" s="545" t="e">
        <f>VLOOKUP(B94,'пр.взв.'!B$7:H$134,2,FALSE)</f>
        <v>#N/A</v>
      </c>
      <c r="D94" s="546" t="e">
        <f>VLOOKUP(B94,'пр.взв.'!B$7:H$134,3,FALSE)</f>
        <v>#N/A</v>
      </c>
      <c r="E94" s="544" t="e">
        <f>VLOOKUP(B94,'пр.взв.'!B$7:H$134,4,FALSE)</f>
        <v>#N/A</v>
      </c>
      <c r="F94" s="277" t="e">
        <f>VLOOKUP(B94,'пр.взв.'!B$7:H$142,5,FALSE)</f>
        <v>#N/A</v>
      </c>
      <c r="G94" s="628" t="e">
        <f>VLOOKUP(B94,'пр.взв.'!B$7:H$139,6,FALSE)</f>
        <v>#N/A</v>
      </c>
      <c r="H94" s="530" t="e">
        <f>VLOOKUP(B94,'пр.взв.'!B$7:H$151,7,FALSE)</f>
        <v>#N/A</v>
      </c>
    </row>
    <row r="95" spans="1:8" ht="12.75" hidden="1">
      <c r="A95" s="623"/>
      <c r="B95" s="553"/>
      <c r="C95" s="545"/>
      <c r="D95" s="546"/>
      <c r="E95" s="544"/>
      <c r="F95" s="277"/>
      <c r="G95" s="628"/>
      <c r="H95" s="530"/>
    </row>
    <row r="96" spans="1:8" ht="12.75" hidden="1">
      <c r="A96" s="623" t="s">
        <v>65</v>
      </c>
      <c r="B96" s="553">
        <f>'пр.хода'!AI33</f>
        <v>46</v>
      </c>
      <c r="C96" s="545" t="e">
        <f>VLOOKUP(B96,'пр.взв.'!B$7:H$134,2,FALSE)</f>
        <v>#N/A</v>
      </c>
      <c r="D96" s="546" t="e">
        <f>VLOOKUP(B96,'пр.взв.'!B$7:H$134,3,FALSE)</f>
        <v>#N/A</v>
      </c>
      <c r="E96" s="544" t="e">
        <f>VLOOKUP(B96,'пр.взв.'!B$7:H$134,4,FALSE)</f>
        <v>#N/A</v>
      </c>
      <c r="F96" s="277" t="e">
        <f>VLOOKUP(B96,'пр.взв.'!B$7:H$142,5,FALSE)</f>
        <v>#N/A</v>
      </c>
      <c r="G96" s="628" t="e">
        <f>VLOOKUP(B96,'пр.взв.'!B$7:H$139,6,FALSE)</f>
        <v>#N/A</v>
      </c>
      <c r="H96" s="530" t="e">
        <f>VLOOKUP(B96,'пр.взв.'!B$7:H$151,7,FALSE)</f>
        <v>#N/A</v>
      </c>
    </row>
    <row r="97" spans="1:8" ht="12.75" hidden="1">
      <c r="A97" s="623"/>
      <c r="B97" s="553"/>
      <c r="C97" s="545"/>
      <c r="D97" s="546"/>
      <c r="E97" s="544"/>
      <c r="F97" s="277"/>
      <c r="G97" s="628"/>
      <c r="H97" s="530"/>
    </row>
    <row r="98" spans="1:8" ht="12.75" hidden="1">
      <c r="A98" s="623" t="s">
        <v>65</v>
      </c>
      <c r="B98" s="553">
        <f>'пр.хода'!AI24</f>
        <v>47</v>
      </c>
      <c r="C98" s="545" t="e">
        <f>VLOOKUP(B98,'пр.взв.'!B$7:H$134,2,FALSE)</f>
        <v>#N/A</v>
      </c>
      <c r="D98" s="546" t="e">
        <f>VLOOKUP(B98,'пр.взв.'!B$7:H$134,3,FALSE)</f>
        <v>#N/A</v>
      </c>
      <c r="E98" s="544" t="e">
        <f>VLOOKUP(B98,'пр.взв.'!B$7:H$134,4,FALSE)</f>
        <v>#N/A</v>
      </c>
      <c r="F98" s="277" t="e">
        <f>VLOOKUP(B98,'пр.взв.'!B$7:H$142,5,FALSE)</f>
        <v>#N/A</v>
      </c>
      <c r="G98" s="628" t="e">
        <f>VLOOKUP(B98,'пр.взв.'!B$7:H$139,6,FALSE)</f>
        <v>#N/A</v>
      </c>
      <c r="H98" s="530" t="e">
        <f>VLOOKUP(B98,'пр.взв.'!B$7:H$151,7,FALSE)</f>
        <v>#N/A</v>
      </c>
    </row>
    <row r="99" spans="1:8" ht="12.75" hidden="1">
      <c r="A99" s="623"/>
      <c r="B99" s="553"/>
      <c r="C99" s="545"/>
      <c r="D99" s="546"/>
      <c r="E99" s="544"/>
      <c r="F99" s="277"/>
      <c r="G99" s="628"/>
      <c r="H99" s="530"/>
    </row>
    <row r="100" spans="1:8" ht="12.75" hidden="1">
      <c r="A100" s="623" t="s">
        <v>65</v>
      </c>
      <c r="B100" s="553">
        <f>'пр.хода'!AI43</f>
        <v>48</v>
      </c>
      <c r="C100" s="545" t="e">
        <f>VLOOKUP(B100,'пр.взв.'!B$7:H$134,2,FALSE)</f>
        <v>#N/A</v>
      </c>
      <c r="D100" s="546" t="e">
        <f>VLOOKUP(B100,'пр.взв.'!B$7:H$134,3,FALSE)</f>
        <v>#N/A</v>
      </c>
      <c r="E100" s="544" t="e">
        <f>VLOOKUP(B100,'пр.взв.'!B$7:H$134,4,FALSE)</f>
        <v>#N/A</v>
      </c>
      <c r="F100" s="277" t="e">
        <f>VLOOKUP(B100,'пр.взв.'!B$7:H$142,5,FALSE)</f>
        <v>#N/A</v>
      </c>
      <c r="G100" s="628" t="e">
        <f>VLOOKUP(B100,'пр.взв.'!B$7:H$139,6,FALSE)</f>
        <v>#N/A</v>
      </c>
      <c r="H100" s="530" t="e">
        <f>VLOOKUP(B100,'пр.взв.'!B$7:H$151,7,FALSE)</f>
        <v>#N/A</v>
      </c>
    </row>
    <row r="101" spans="1:8" ht="12.75" hidden="1">
      <c r="A101" s="623"/>
      <c r="B101" s="553"/>
      <c r="C101" s="545"/>
      <c r="D101" s="546"/>
      <c r="E101" s="544"/>
      <c r="F101" s="277"/>
      <c r="G101" s="628"/>
      <c r="H101" s="530"/>
    </row>
    <row r="102" spans="1:8" ht="12.75">
      <c r="A102" s="623" t="s">
        <v>282</v>
      </c>
      <c r="B102" s="553">
        <f>'пр.хода'!AI10</f>
        <v>33</v>
      </c>
      <c r="C102" s="545" t="str">
        <f>VLOOKUP(B102,'пр.взв.'!B$7:H$134,2,FALSE)</f>
        <v>ТАМБИЕВ Аслангери Артурович</v>
      </c>
      <c r="D102" s="546" t="str">
        <f>VLOOKUP(B102,'пр.взв.'!B$7:H$134,3,FALSE)</f>
        <v>11.07.92, КМС</v>
      </c>
      <c r="E102" s="544" t="str">
        <f>VLOOKUP(B102,'пр.взв.'!B$7:H$134,4,FALSE)</f>
        <v>СПБ</v>
      </c>
      <c r="F102" s="277" t="str">
        <f>VLOOKUP(B102,'пр.взв.'!B$7:H$142,5,FALSE)</f>
        <v>С-Петербург, МО</v>
      </c>
      <c r="G102" s="628">
        <f>VLOOKUP(B102,'пр.взв.'!B$7:H$139,6,FALSE)</f>
        <v>0</v>
      </c>
      <c r="H102" s="530" t="str">
        <f>VLOOKUP(B102,'пр.взв.'!B$7:H$151,7,FALSE)</f>
        <v>Болов В.В.. Гуртуев У.М.</v>
      </c>
    </row>
    <row r="103" spans="1:8" ht="12.75">
      <c r="A103" s="623"/>
      <c r="B103" s="553"/>
      <c r="C103" s="545"/>
      <c r="D103" s="546"/>
      <c r="E103" s="544"/>
      <c r="F103" s="277"/>
      <c r="G103" s="628"/>
      <c r="H103" s="530"/>
    </row>
    <row r="104" spans="1:8" ht="12.75" hidden="1">
      <c r="A104" s="551" t="s">
        <v>65</v>
      </c>
      <c r="B104" s="553">
        <f>'пр.хода'!AI28</f>
        <v>34</v>
      </c>
      <c r="C104" s="545" t="e">
        <f>VLOOKUP(B104,'пр.взв.'!B$7:H$134,2,FALSE)</f>
        <v>#N/A</v>
      </c>
      <c r="D104" s="546" t="e">
        <f>VLOOKUP(B104,'пр.взв.'!B$7:H$134,3,FALSE)</f>
        <v>#N/A</v>
      </c>
      <c r="E104" s="544" t="e">
        <f>VLOOKUP(B104,'пр.взв.'!B$7:H$134,4,FALSE)</f>
        <v>#N/A</v>
      </c>
      <c r="F104" s="277" t="e">
        <f>VLOOKUP(B104,'пр.взв.'!B$7:H$142,5,FALSE)</f>
        <v>#N/A</v>
      </c>
      <c r="G104" s="295" t="e">
        <f>VLOOKUP(B104,'пр.взв.'!B$7:H$139,6,FALSE)</f>
        <v>#N/A</v>
      </c>
      <c r="H104" s="530" t="e">
        <f>VLOOKUP(B104,'пр.взв.'!B$7:H$151,7,FALSE)</f>
        <v>#N/A</v>
      </c>
    </row>
    <row r="105" spans="1:8" ht="12.75" hidden="1">
      <c r="A105" s="551"/>
      <c r="B105" s="553"/>
      <c r="C105" s="545"/>
      <c r="D105" s="546"/>
      <c r="E105" s="544"/>
      <c r="F105" s="277"/>
      <c r="G105" s="295"/>
      <c r="H105" s="530"/>
    </row>
    <row r="106" spans="1:8" ht="12.75" customHeight="1" hidden="1">
      <c r="A106" s="551" t="s">
        <v>65</v>
      </c>
      <c r="B106" s="553">
        <f>'пр.хода'!AI19</f>
        <v>35</v>
      </c>
      <c r="C106" s="545" t="e">
        <f>VLOOKUP(B106,'пр.взв.'!B$7:H$134,2,FALSE)</f>
        <v>#N/A</v>
      </c>
      <c r="D106" s="546" t="e">
        <f>VLOOKUP(B106,'пр.взв.'!B$7:H$134,3,FALSE)</f>
        <v>#N/A</v>
      </c>
      <c r="E106" s="544" t="e">
        <f>VLOOKUP(B106,'пр.взв.'!B$7:H$134,4,FALSE)</f>
        <v>#N/A</v>
      </c>
      <c r="F106" s="277" t="e">
        <f>VLOOKUP(B106,'пр.взв.'!B$7:H$142,5,FALSE)</f>
        <v>#N/A</v>
      </c>
      <c r="G106" s="295" t="e">
        <f>VLOOKUP(B106,'пр.взв.'!B$7:H$139,6,FALSE)</f>
        <v>#N/A</v>
      </c>
      <c r="H106" s="530" t="e">
        <f>VLOOKUP(B106,'пр.взв.'!B$7:H$151,7,FALSE)</f>
        <v>#N/A</v>
      </c>
    </row>
    <row r="107" spans="1:8" ht="12.75" hidden="1">
      <c r="A107" s="551"/>
      <c r="B107" s="553"/>
      <c r="C107" s="545"/>
      <c r="D107" s="546"/>
      <c r="E107" s="544"/>
      <c r="F107" s="277"/>
      <c r="G107" s="295"/>
      <c r="H107" s="530"/>
    </row>
    <row r="108" spans="1:8" ht="12.75" hidden="1">
      <c r="A108" s="551" t="s">
        <v>65</v>
      </c>
      <c r="B108" s="553">
        <f>'пр.хода'!AI38</f>
        <v>36</v>
      </c>
      <c r="C108" s="545" t="e">
        <f>VLOOKUP(B108,'пр.взв.'!B$7:H$134,2,FALSE)</f>
        <v>#N/A</v>
      </c>
      <c r="D108" s="546" t="e">
        <f>VLOOKUP(B108,'пр.взв.'!B$7:H$134,3,FALSE)</f>
        <v>#N/A</v>
      </c>
      <c r="E108" s="544" t="e">
        <f>VLOOKUP(B108,'пр.взв.'!B$7:H$134,4,FALSE)</f>
        <v>#N/A</v>
      </c>
      <c r="F108" s="277" t="e">
        <f>VLOOKUP(B108,'пр.взв.'!B$7:H$142,5,FALSE)</f>
        <v>#N/A</v>
      </c>
      <c r="G108" s="295" t="e">
        <f>VLOOKUP(B108,'пр.взв.'!B$7:H$139,6,FALSE)</f>
        <v>#N/A</v>
      </c>
      <c r="H108" s="530" t="e">
        <f>VLOOKUP(B108,'пр.взв.'!B$7:H$151,7,FALSE)</f>
        <v>#N/A</v>
      </c>
    </row>
    <row r="109" spans="1:8" ht="12.75" hidden="1">
      <c r="A109" s="551"/>
      <c r="B109" s="553"/>
      <c r="C109" s="545"/>
      <c r="D109" s="546"/>
      <c r="E109" s="544"/>
      <c r="F109" s="277"/>
      <c r="G109" s="295"/>
      <c r="H109" s="530"/>
    </row>
    <row r="110" spans="1:8" ht="12.75" hidden="1">
      <c r="A110" s="551" t="s">
        <v>65</v>
      </c>
      <c r="B110" s="553">
        <f>'пр.хода'!AI14</f>
        <v>37</v>
      </c>
      <c r="C110" s="545" t="e">
        <f>VLOOKUP(B110,'пр.взв.'!B$7:H$134,2,FALSE)</f>
        <v>#N/A</v>
      </c>
      <c r="D110" s="546" t="e">
        <f>VLOOKUP(B110,'пр.взв.'!B$7:H$134,3,FALSE)</f>
        <v>#N/A</v>
      </c>
      <c r="E110" s="544" t="e">
        <f>VLOOKUP(B110,'пр.взв.'!B$7:H$134,4,FALSE)</f>
        <v>#N/A</v>
      </c>
      <c r="F110" s="277" t="e">
        <f>VLOOKUP(B110,'пр.взв.'!B$7:H$142,5,FALSE)</f>
        <v>#N/A</v>
      </c>
      <c r="G110" s="295" t="e">
        <f>VLOOKUP(B110,'пр.взв.'!B$7:H$139,6,FALSE)</f>
        <v>#N/A</v>
      </c>
      <c r="H110" s="530" t="e">
        <f>VLOOKUP(B110,'пр.взв.'!B$7:H$151,7,FALSE)</f>
        <v>#N/A</v>
      </c>
    </row>
    <row r="111" spans="1:8" ht="12.75" hidden="1">
      <c r="A111" s="551"/>
      <c r="B111" s="553"/>
      <c r="C111" s="545"/>
      <c r="D111" s="546"/>
      <c r="E111" s="544"/>
      <c r="F111" s="277"/>
      <c r="G111" s="295"/>
      <c r="H111" s="530"/>
    </row>
    <row r="112" spans="1:8" ht="12.75" hidden="1">
      <c r="A112" s="551" t="s">
        <v>65</v>
      </c>
      <c r="B112" s="553">
        <f>'пр.хода'!AI32</f>
        <v>54</v>
      </c>
      <c r="C112" s="545" t="e">
        <f>VLOOKUP(B112,'пр.взв.'!B$7:H$134,2,FALSE)</f>
        <v>#N/A</v>
      </c>
      <c r="D112" s="546" t="e">
        <f>VLOOKUP(B112,'пр.взв.'!B$7:H$134,3,FALSE)</f>
        <v>#N/A</v>
      </c>
      <c r="E112" s="544" t="e">
        <f>VLOOKUP(B112,'пр.взв.'!B$7:H$134,4,FALSE)</f>
        <v>#N/A</v>
      </c>
      <c r="F112" s="277" t="e">
        <f>VLOOKUP(B112,'пр.взв.'!B$7:H$142,5,FALSE)</f>
        <v>#N/A</v>
      </c>
      <c r="G112" s="295" t="e">
        <f>VLOOKUP(B112,'пр.взв.'!B$7:H$139,6,FALSE)</f>
        <v>#N/A</v>
      </c>
      <c r="H112" s="530" t="e">
        <f>VLOOKUP(B112,'пр.взв.'!B$7:H$151,7,FALSE)</f>
        <v>#N/A</v>
      </c>
    </row>
    <row r="113" spans="1:8" ht="12.75" hidden="1">
      <c r="A113" s="551"/>
      <c r="B113" s="553"/>
      <c r="C113" s="545"/>
      <c r="D113" s="546"/>
      <c r="E113" s="544"/>
      <c r="F113" s="277"/>
      <c r="G113" s="295"/>
      <c r="H113" s="530"/>
    </row>
    <row r="114" spans="1:8" ht="12.75" hidden="1">
      <c r="A114" s="551" t="s">
        <v>65</v>
      </c>
      <c r="B114" s="553">
        <f>'пр.хода'!AI23</f>
        <v>55</v>
      </c>
      <c r="C114" s="545" t="e">
        <f>VLOOKUP(B114,'пр.взв.'!B$7:H$134,2,FALSE)</f>
        <v>#N/A</v>
      </c>
      <c r="D114" s="546" t="e">
        <f>VLOOKUP(B114,'пр.взв.'!B$7:H$134,3,FALSE)</f>
        <v>#N/A</v>
      </c>
      <c r="E114" s="544" t="e">
        <f>VLOOKUP(B114,'пр.взв.'!B$7:H$134,4,FALSE)</f>
        <v>#N/A</v>
      </c>
      <c r="F114" s="277" t="e">
        <f>VLOOKUP(B114,'пр.взв.'!B$7:H$142,5,FALSE)</f>
        <v>#N/A</v>
      </c>
      <c r="G114" s="295" t="e">
        <f>VLOOKUP(B114,'пр.взв.'!B$7:H$139,6,FALSE)</f>
        <v>#N/A</v>
      </c>
      <c r="H114" s="530" t="e">
        <f>VLOOKUP(B114,'пр.взв.'!B$7:H$151,7,FALSE)</f>
        <v>#N/A</v>
      </c>
    </row>
    <row r="115" spans="1:8" ht="12.75" hidden="1">
      <c r="A115" s="551"/>
      <c r="B115" s="553"/>
      <c r="C115" s="545"/>
      <c r="D115" s="546"/>
      <c r="E115" s="544"/>
      <c r="F115" s="277"/>
      <c r="G115" s="295"/>
      <c r="H115" s="530"/>
    </row>
    <row r="116" spans="1:8" ht="12.75" hidden="1">
      <c r="A116" s="551" t="s">
        <v>65</v>
      </c>
      <c r="B116" s="553">
        <f>'пр.хода'!AH43</f>
        <v>56</v>
      </c>
      <c r="C116" s="545" t="e">
        <f>VLOOKUP(B116,'пр.взв.'!B$7:H$134,2,FALSE)</f>
        <v>#N/A</v>
      </c>
      <c r="D116" s="546" t="e">
        <f>VLOOKUP(B116,'пр.взв.'!B$7:H$134,3,FALSE)</f>
        <v>#N/A</v>
      </c>
      <c r="E116" s="544" t="e">
        <f>VLOOKUP(B116,'пр.взв.'!B$7:H$134,4,FALSE)</f>
        <v>#N/A</v>
      </c>
      <c r="F116" s="277" t="e">
        <f>VLOOKUP(B116,'пр.взв.'!B$7:H$142,5,FALSE)</f>
        <v>#N/A</v>
      </c>
      <c r="G116" s="295" t="e">
        <f>VLOOKUP(B116,'пр.взв.'!B$7:H$139,6,FALSE)</f>
        <v>#N/A</v>
      </c>
      <c r="H116" s="530" t="e">
        <f>VLOOKUP(B116,'пр.взв.'!B$7:H$151,7,FALSE)</f>
        <v>#N/A</v>
      </c>
    </row>
    <row r="117" spans="1:8" ht="12.75" hidden="1">
      <c r="A117" s="551"/>
      <c r="B117" s="553"/>
      <c r="C117" s="545"/>
      <c r="D117" s="546"/>
      <c r="E117" s="544"/>
      <c r="F117" s="277"/>
      <c r="G117" s="295"/>
      <c r="H117" s="530"/>
    </row>
    <row r="118" spans="1:8" ht="12.75" hidden="1">
      <c r="A118" s="551" t="s">
        <v>65</v>
      </c>
      <c r="B118" s="553">
        <f>'пр.хода'!AH13</f>
        <v>57</v>
      </c>
      <c r="C118" s="545" t="e">
        <f>VLOOKUP(B118,'пр.взв.'!B$7:H$134,2,FALSE)</f>
        <v>#N/A</v>
      </c>
      <c r="D118" s="546" t="e">
        <f>VLOOKUP(B118,'пр.взв.'!B$7:H$134,3,FALSE)</f>
        <v>#N/A</v>
      </c>
      <c r="E118" s="544" t="e">
        <f>VLOOKUP(B118,'пр.взв.'!B$7:H$134,4,FALSE)</f>
        <v>#N/A</v>
      </c>
      <c r="F118" s="277" t="e">
        <f>VLOOKUP(B118,'пр.взв.'!B$7:H$142,5,FALSE)</f>
        <v>#N/A</v>
      </c>
      <c r="G118" s="295" t="e">
        <f>VLOOKUP(B118,'пр.взв.'!B$7:H$139,6,FALSE)</f>
        <v>#N/A</v>
      </c>
      <c r="H118" s="530" t="e">
        <f>VLOOKUP(B118,'пр.взв.'!B$7:H$151,7,FALSE)</f>
        <v>#N/A</v>
      </c>
    </row>
    <row r="119" spans="1:8" ht="12.75" hidden="1">
      <c r="A119" s="551"/>
      <c r="B119" s="553"/>
      <c r="C119" s="545"/>
      <c r="D119" s="546"/>
      <c r="E119" s="544"/>
      <c r="F119" s="277"/>
      <c r="G119" s="295"/>
      <c r="H119" s="530"/>
    </row>
    <row r="120" spans="1:8" ht="12.75" hidden="1">
      <c r="A120" s="551" t="s">
        <v>65</v>
      </c>
      <c r="B120" s="553" t="str">
        <f>'пр.хода'!AH31</f>
        <v> </v>
      </c>
      <c r="C120" s="545" t="e">
        <f>VLOOKUP(B120,'пр.взв.'!B$7:H$134,2,FALSE)</f>
        <v>#N/A</v>
      </c>
      <c r="D120" s="546" t="e">
        <f>VLOOKUP(B120,'пр.взв.'!B$7:H$134,3,FALSE)</f>
        <v>#N/A</v>
      </c>
      <c r="E120" s="544" t="e">
        <f>VLOOKUP(B120,'пр.взв.'!B$7:H$134,4,FALSE)</f>
        <v>#N/A</v>
      </c>
      <c r="F120" s="277" t="e">
        <f>VLOOKUP(B120,'пр.взв.'!B$7:H$142,5,FALSE)</f>
        <v>#N/A</v>
      </c>
      <c r="G120" s="295" t="e">
        <f>VLOOKUP(B120,'пр.взв.'!B$7:H$139,6,FALSE)</f>
        <v>#N/A</v>
      </c>
      <c r="H120" s="530" t="e">
        <f>VLOOKUP(B120,'пр.взв.'!B$7:H$151,7,FALSE)</f>
        <v>#N/A</v>
      </c>
    </row>
    <row r="121" spans="1:8" ht="12.75" hidden="1">
      <c r="A121" s="551"/>
      <c r="B121" s="553"/>
      <c r="C121" s="545"/>
      <c r="D121" s="546"/>
      <c r="E121" s="544"/>
      <c r="F121" s="277"/>
      <c r="G121" s="295"/>
      <c r="H121" s="530"/>
    </row>
    <row r="122" spans="1:8" ht="12.75" hidden="1">
      <c r="A122" s="551" t="s">
        <v>65</v>
      </c>
      <c r="B122" s="553">
        <f>'пр.хода'!AH22</f>
        <v>59</v>
      </c>
      <c r="C122" s="545" t="e">
        <f>VLOOKUP(B122,'пр.взв.'!B$7:H$134,2,FALSE)</f>
        <v>#N/A</v>
      </c>
      <c r="D122" s="546" t="e">
        <f>VLOOKUP(B122,'пр.взв.'!B$7:H$134,3,FALSE)</f>
        <v>#N/A</v>
      </c>
      <c r="E122" s="544" t="e">
        <f>VLOOKUP(B122,'пр.взв.'!B$7:H$134,4,FALSE)</f>
        <v>#N/A</v>
      </c>
      <c r="F122" s="277" t="e">
        <f>VLOOKUP(B122,'пр.взв.'!B$7:H$142,5,FALSE)</f>
        <v>#N/A</v>
      </c>
      <c r="G122" s="295" t="e">
        <f>VLOOKUP(B122,'пр.взв.'!B$7:H$139,6,FALSE)</f>
        <v>#N/A</v>
      </c>
      <c r="H122" s="530" t="e">
        <f>VLOOKUP(B122,'пр.взв.'!B$7:H$151,7,FALSE)</f>
        <v>#N/A</v>
      </c>
    </row>
    <row r="123" spans="1:8" ht="12.75" hidden="1">
      <c r="A123" s="551"/>
      <c r="B123" s="553"/>
      <c r="C123" s="545"/>
      <c r="D123" s="546"/>
      <c r="E123" s="544"/>
      <c r="F123" s="277"/>
      <c r="G123" s="295"/>
      <c r="H123" s="530"/>
    </row>
    <row r="124" spans="1:8" ht="12.75" hidden="1">
      <c r="A124" s="551" t="s">
        <v>65</v>
      </c>
      <c r="B124" s="553">
        <f>'пр.хода'!AH41</f>
        <v>60</v>
      </c>
      <c r="C124" s="545" t="e">
        <f>VLOOKUP(B124,'пр.взв.'!B$7:H$134,2,FALSE)</f>
        <v>#N/A</v>
      </c>
      <c r="D124" s="546" t="e">
        <f>VLOOKUP(B124,'пр.взв.'!B$7:H$134,3,FALSE)</f>
        <v>#N/A</v>
      </c>
      <c r="E124" s="544" t="e">
        <f>VLOOKUP(B124,'пр.взв.'!B$7:H$134,4,FALSE)</f>
        <v>#N/A</v>
      </c>
      <c r="F124" s="277" t="e">
        <f>VLOOKUP(B124,'пр.взв.'!B$7:H$142,5,FALSE)</f>
        <v>#N/A</v>
      </c>
      <c r="G124" s="295" t="e">
        <f>VLOOKUP(B124,'пр.взв.'!B$7:H$139,6,FALSE)</f>
        <v>#N/A</v>
      </c>
      <c r="H124" s="530" t="e">
        <f>VLOOKUP(B124,'пр.взв.'!B$7:H$151,7,FALSE)</f>
        <v>#N/A</v>
      </c>
    </row>
    <row r="125" spans="1:8" ht="12.75" hidden="1">
      <c r="A125" s="551"/>
      <c r="B125" s="553"/>
      <c r="C125" s="545"/>
      <c r="D125" s="546"/>
      <c r="E125" s="544"/>
      <c r="F125" s="277"/>
      <c r="G125" s="295"/>
      <c r="H125" s="530"/>
    </row>
    <row r="126" spans="1:8" ht="12.75" hidden="1">
      <c r="A126" s="551" t="s">
        <v>65</v>
      </c>
      <c r="B126" s="553" t="str">
        <f>'пр.хода'!AH17</f>
        <v> </v>
      </c>
      <c r="C126" s="545" t="e">
        <f>VLOOKUP(B126,'пр.взв.'!B$7:H$134,2,FALSE)</f>
        <v>#N/A</v>
      </c>
      <c r="D126" s="546" t="e">
        <f>VLOOKUP(B126,'пр.взв.'!B$7:H$134,3,FALSE)</f>
        <v>#N/A</v>
      </c>
      <c r="E126" s="544" t="e">
        <f>VLOOKUP(B126,'пр.взв.'!B$7:H$134,4,FALSE)</f>
        <v>#N/A</v>
      </c>
      <c r="F126" s="277" t="e">
        <f>VLOOKUP(B126,'пр.взв.'!B$7:H$142,5,FALSE)</f>
        <v>#N/A</v>
      </c>
      <c r="G126" s="295" t="e">
        <f>VLOOKUP(B126,'пр.взв.'!B$7:H$139,6,FALSE)</f>
        <v>#N/A</v>
      </c>
      <c r="H126" s="530" t="e">
        <f>VLOOKUP(B126,'пр.взв.'!B$7:H$151,7,FALSE)</f>
        <v>#N/A</v>
      </c>
    </row>
    <row r="127" spans="1:8" ht="12.75" hidden="1">
      <c r="A127" s="551"/>
      <c r="B127" s="553"/>
      <c r="C127" s="545"/>
      <c r="D127" s="546"/>
      <c r="E127" s="544"/>
      <c r="F127" s="277"/>
      <c r="G127" s="295"/>
      <c r="H127" s="530"/>
    </row>
    <row r="128" spans="1:8" ht="12.75" hidden="1">
      <c r="A128" s="551" t="s">
        <v>65</v>
      </c>
      <c r="B128" s="553">
        <f>'пр.хода'!AH35</f>
        <v>62</v>
      </c>
      <c r="C128" s="545" t="e">
        <f>VLOOKUP(B128,'пр.взв.'!B$7:H$134,2,FALSE)</f>
        <v>#N/A</v>
      </c>
      <c r="D128" s="546" t="e">
        <f>VLOOKUP(B128,'пр.взв.'!B$7:H$134,3,FALSE)</f>
        <v>#N/A</v>
      </c>
      <c r="E128" s="544" t="e">
        <f>VLOOKUP(B128,'пр.взв.'!B$7:H$134,4,FALSE)</f>
        <v>#N/A</v>
      </c>
      <c r="F128" s="277" t="e">
        <f>VLOOKUP(B128,'пр.взв.'!B$7:H$142,5,FALSE)</f>
        <v>#N/A</v>
      </c>
      <c r="G128" s="295" t="e">
        <f>VLOOKUP(B128,'пр.взв.'!B$7:H$139,6,FALSE)</f>
        <v>#N/A</v>
      </c>
      <c r="H128" s="530" t="e">
        <f>VLOOKUP(B128,'пр.взв.'!B$7:H$151,7,FALSE)</f>
        <v>#N/A</v>
      </c>
    </row>
    <row r="129" spans="1:8" ht="12.75" hidden="1">
      <c r="A129" s="551"/>
      <c r="B129" s="553"/>
      <c r="C129" s="545"/>
      <c r="D129" s="546"/>
      <c r="E129" s="544"/>
      <c r="F129" s="277"/>
      <c r="G129" s="295"/>
      <c r="H129" s="530"/>
    </row>
    <row r="130" spans="1:8" ht="12.75" hidden="1">
      <c r="A130" s="551" t="s">
        <v>65</v>
      </c>
      <c r="B130" s="553">
        <f>'пр.хода'!AH26</f>
        <v>63</v>
      </c>
      <c r="C130" s="545" t="e">
        <f>VLOOKUP(B130,'пр.взв.'!B$7:H$134,2,FALSE)</f>
        <v>#N/A</v>
      </c>
      <c r="D130" s="546" t="e">
        <f>VLOOKUP(B130,'пр.взв.'!B$7:H$134,3,FALSE)</f>
        <v>#N/A</v>
      </c>
      <c r="E130" s="544" t="e">
        <f>VLOOKUP(B130,'пр.взв.'!B$7:H$134,4,FALSE)</f>
        <v>#N/A</v>
      </c>
      <c r="F130" s="277" t="e">
        <f>VLOOKUP(B130,'пр.взв.'!B$7:H$142,5,FALSE)</f>
        <v>#N/A</v>
      </c>
      <c r="G130" s="295" t="e">
        <f>VLOOKUP(B130,'пр.взв.'!B$7:H$139,6,FALSE)</f>
        <v>#N/A</v>
      </c>
      <c r="H130" s="530" t="e">
        <f>VLOOKUP(B130,'пр.взв.'!B$7:H$151,7,FALSE)</f>
        <v>#N/A</v>
      </c>
    </row>
    <row r="131" spans="1:8" ht="12.75" hidden="1">
      <c r="A131" s="551"/>
      <c r="B131" s="553"/>
      <c r="C131" s="545"/>
      <c r="D131" s="546"/>
      <c r="E131" s="544"/>
      <c r="F131" s="277"/>
      <c r="G131" s="295"/>
      <c r="H131" s="530"/>
    </row>
    <row r="132" spans="1:8" ht="12.75" hidden="1">
      <c r="A132" s="551" t="s">
        <v>65</v>
      </c>
      <c r="B132" s="553">
        <f>'пр.хода'!AH45</f>
        <v>64</v>
      </c>
      <c r="C132" s="545" t="e">
        <f>VLOOKUP(B132,'пр.взв.'!B$7:H$134,2,FALSE)</f>
        <v>#N/A</v>
      </c>
      <c r="D132" s="546" t="e">
        <f>VLOOKUP(B132,'пр.взв.'!B$7:H$134,3,FALSE)</f>
        <v>#N/A</v>
      </c>
      <c r="E132" s="544" t="e">
        <f>VLOOKUP(B132,'пр.взв.'!B$7:H$134,4,FALSE)</f>
        <v>#N/A</v>
      </c>
      <c r="F132" s="277" t="e">
        <f>VLOOKUP(B132,'пр.взв.'!B$7:H$142,5,FALSE)</f>
        <v>#N/A</v>
      </c>
      <c r="G132" s="295" t="e">
        <f>VLOOKUP(B132,'пр.взв.'!B$7:H$139,6,FALSE)</f>
        <v>#N/A</v>
      </c>
      <c r="H132" s="530" t="e">
        <f>VLOOKUP(B132,'пр.взв.'!B$7:H$151,7,FALSE)</f>
        <v>#N/A</v>
      </c>
    </row>
    <row r="133" spans="1:8" ht="13.5" hidden="1" thickBot="1">
      <c r="A133" s="552"/>
      <c r="B133" s="554"/>
      <c r="C133" s="555"/>
      <c r="D133" s="556"/>
      <c r="E133" s="548"/>
      <c r="F133" s="549"/>
      <c r="G133" s="550"/>
      <c r="H133" s="531"/>
    </row>
    <row r="135" spans="1:10" ht="12.75">
      <c r="A135" s="88" t="str">
        <f>HYPERLINK('[1]реквизиты'!$A$6)</f>
        <v>Гл. судья, судья МК</v>
      </c>
      <c r="B135" s="78"/>
      <c r="C135" s="87"/>
      <c r="D135" s="89"/>
      <c r="E135" s="89"/>
      <c r="F135" s="90" t="str">
        <f>'[2]реквизиты'!$G$7</f>
        <v>Р.М.Бабоян</v>
      </c>
      <c r="H135" s="101" t="str">
        <f>'[2]реквизиты'!$G$8</f>
        <v>/г.Армавир/</v>
      </c>
      <c r="I135" s="81"/>
      <c r="J135" s="78"/>
    </row>
    <row r="136" spans="1:10" ht="12" customHeight="1">
      <c r="A136" s="87"/>
      <c r="B136" s="78"/>
      <c r="C136" s="87"/>
      <c r="D136" s="89"/>
      <c r="E136" s="89"/>
      <c r="F136" s="89"/>
      <c r="H136" s="100"/>
      <c r="I136" s="79"/>
      <c r="J136" s="78"/>
    </row>
    <row r="137" spans="1:10" ht="12.75" hidden="1">
      <c r="A137" s="87"/>
      <c r="B137" s="78"/>
      <c r="C137" s="87"/>
      <c r="D137" s="89"/>
      <c r="E137" s="89"/>
      <c r="F137" s="89"/>
      <c r="H137" s="84"/>
      <c r="I137" s="81"/>
      <c r="J137" s="78"/>
    </row>
    <row r="138" spans="1:10" ht="12.75">
      <c r="A138" s="88" t="str">
        <f>'[2]реквизиты'!$A$8</f>
        <v>Гл. секретарь, судья МК</v>
      </c>
      <c r="B138" s="78"/>
      <c r="C138" s="87"/>
      <c r="D138" s="89"/>
      <c r="E138" s="89"/>
      <c r="F138" s="91" t="str">
        <f>'[2]реквизиты'!$G$9</f>
        <v>Р.М.Закиров</v>
      </c>
      <c r="H138" s="101" t="str">
        <f>'[2]реквизиты'!$G$10</f>
        <v>/г.Пермь/</v>
      </c>
      <c r="I138" s="81"/>
      <c r="J138" s="78"/>
    </row>
    <row r="139" spans="1:10" ht="12.75">
      <c r="A139" s="81"/>
      <c r="B139" s="87"/>
      <c r="C139" s="87"/>
      <c r="D139" s="87"/>
      <c r="E139" s="89"/>
      <c r="F139" s="89"/>
      <c r="H139" s="87"/>
      <c r="I139" s="79"/>
      <c r="J139" s="78"/>
    </row>
    <row r="140" spans="1:10" ht="12.75">
      <c r="A140" s="79"/>
      <c r="B140" s="87"/>
      <c r="C140" s="87"/>
      <c r="D140" s="87"/>
      <c r="E140" s="89"/>
      <c r="F140" s="89"/>
      <c r="G140" s="89"/>
      <c r="H140" s="87"/>
      <c r="I140" s="79"/>
      <c r="J140" s="78"/>
    </row>
  </sheetData>
  <sheetProtection password="CCC7" sheet="1" formatCells="0" formatColumns="0" formatRows="0" insertColumns="0" insertRows="0" insertHyperlinks="0" deleteColumns="0" deleteRows="0" sort="0" autoFilter="0" pivotTables="0"/>
  <protectedRanges>
    <protectedRange sqref="L6:M17" name="Диапазон2"/>
    <protectedRange sqref="A1:H138" name="Диапазон1"/>
  </protectedRanges>
  <mergeCells count="543">
    <mergeCell ref="F68:F69"/>
    <mergeCell ref="G68:G69"/>
    <mergeCell ref="A68:A69"/>
    <mergeCell ref="B68:B69"/>
    <mergeCell ref="C68:C69"/>
    <mergeCell ref="D68:D69"/>
    <mergeCell ref="E68:E69"/>
    <mergeCell ref="G66:G67"/>
    <mergeCell ref="A64:A65"/>
    <mergeCell ref="B64:B65"/>
    <mergeCell ref="A66:A67"/>
    <mergeCell ref="B66:B67"/>
    <mergeCell ref="C66:C67"/>
    <mergeCell ref="D66:D67"/>
    <mergeCell ref="C64:C65"/>
    <mergeCell ref="D64:D65"/>
    <mergeCell ref="C86:C87"/>
    <mergeCell ref="D86:D87"/>
    <mergeCell ref="E82:E83"/>
    <mergeCell ref="F82:F83"/>
    <mergeCell ref="C82:C83"/>
    <mergeCell ref="D82:D83"/>
    <mergeCell ref="E86:E87"/>
    <mergeCell ref="F86:F87"/>
    <mergeCell ref="G90:G91"/>
    <mergeCell ref="A90:A91"/>
    <mergeCell ref="B90:B91"/>
    <mergeCell ref="C90:C91"/>
    <mergeCell ref="D90:D91"/>
    <mergeCell ref="E90:E91"/>
    <mergeCell ref="F90:F91"/>
    <mergeCell ref="G86:G87"/>
    <mergeCell ref="A88:A89"/>
    <mergeCell ref="B88:B89"/>
    <mergeCell ref="C88:C89"/>
    <mergeCell ref="D88:D89"/>
    <mergeCell ref="E88:E89"/>
    <mergeCell ref="F88:F89"/>
    <mergeCell ref="G88:G89"/>
    <mergeCell ref="A86:A87"/>
    <mergeCell ref="B86:B87"/>
    <mergeCell ref="G82:G83"/>
    <mergeCell ref="A84:A85"/>
    <mergeCell ref="B84:B85"/>
    <mergeCell ref="C84:C85"/>
    <mergeCell ref="D84:D85"/>
    <mergeCell ref="E84:E85"/>
    <mergeCell ref="F84:F85"/>
    <mergeCell ref="G84:G85"/>
    <mergeCell ref="A82:A83"/>
    <mergeCell ref="B82:B83"/>
    <mergeCell ref="E78:E79"/>
    <mergeCell ref="F78:F79"/>
    <mergeCell ref="C78:C79"/>
    <mergeCell ref="D78:D79"/>
    <mergeCell ref="G78:G79"/>
    <mergeCell ref="A80:A81"/>
    <mergeCell ref="B80:B81"/>
    <mergeCell ref="C80:C81"/>
    <mergeCell ref="D80:D81"/>
    <mergeCell ref="E80:E81"/>
    <mergeCell ref="F80:F81"/>
    <mergeCell ref="G80:G81"/>
    <mergeCell ref="A78:A79"/>
    <mergeCell ref="B78:B79"/>
    <mergeCell ref="E74:E75"/>
    <mergeCell ref="F74:F75"/>
    <mergeCell ref="G74:G75"/>
    <mergeCell ref="A76:A77"/>
    <mergeCell ref="B76:B77"/>
    <mergeCell ref="C76:C77"/>
    <mergeCell ref="D76:D77"/>
    <mergeCell ref="E76:E77"/>
    <mergeCell ref="F76:F77"/>
    <mergeCell ref="G76:G77"/>
    <mergeCell ref="A74:A75"/>
    <mergeCell ref="B74:B75"/>
    <mergeCell ref="C74:C75"/>
    <mergeCell ref="D74:D75"/>
    <mergeCell ref="A72:A73"/>
    <mergeCell ref="B72:B73"/>
    <mergeCell ref="C72:C73"/>
    <mergeCell ref="D72:D73"/>
    <mergeCell ref="E72:E73"/>
    <mergeCell ref="F72:F73"/>
    <mergeCell ref="G72:G73"/>
    <mergeCell ref="E62:E63"/>
    <mergeCell ref="F62:F63"/>
    <mergeCell ref="G62:G63"/>
    <mergeCell ref="E64:E65"/>
    <mergeCell ref="F64:F65"/>
    <mergeCell ref="F70:F71"/>
    <mergeCell ref="G64:G65"/>
    <mergeCell ref="G70:G71"/>
    <mergeCell ref="F66:F67"/>
    <mergeCell ref="E48:E49"/>
    <mergeCell ref="E50:E51"/>
    <mergeCell ref="E44:E45"/>
    <mergeCell ref="E46:E47"/>
    <mergeCell ref="E70:E71"/>
    <mergeCell ref="E58:E59"/>
    <mergeCell ref="E60:E61"/>
    <mergeCell ref="E66:E67"/>
    <mergeCell ref="E52:E53"/>
    <mergeCell ref="A70:A71"/>
    <mergeCell ref="B70:B71"/>
    <mergeCell ref="C70:C71"/>
    <mergeCell ref="A62:A63"/>
    <mergeCell ref="B62:B63"/>
    <mergeCell ref="C62:C63"/>
    <mergeCell ref="D62:D63"/>
    <mergeCell ref="D70:D71"/>
    <mergeCell ref="F60:F61"/>
    <mergeCell ref="G60:G61"/>
    <mergeCell ref="A58:A59"/>
    <mergeCell ref="B58:B59"/>
    <mergeCell ref="A60:A61"/>
    <mergeCell ref="B60:B61"/>
    <mergeCell ref="C60:C61"/>
    <mergeCell ref="D60:D61"/>
    <mergeCell ref="D58:D59"/>
    <mergeCell ref="F54:F55"/>
    <mergeCell ref="G54:G55"/>
    <mergeCell ref="E56:E57"/>
    <mergeCell ref="F56:F57"/>
    <mergeCell ref="G56:G57"/>
    <mergeCell ref="E54:E55"/>
    <mergeCell ref="G58:G59"/>
    <mergeCell ref="A56:A57"/>
    <mergeCell ref="B56:B57"/>
    <mergeCell ref="C56:C57"/>
    <mergeCell ref="D56:D57"/>
    <mergeCell ref="F58:F59"/>
    <mergeCell ref="A54:A55"/>
    <mergeCell ref="B54:B55"/>
    <mergeCell ref="C54:C55"/>
    <mergeCell ref="D54:D55"/>
    <mergeCell ref="C58:C59"/>
    <mergeCell ref="A52:A53"/>
    <mergeCell ref="B52:B53"/>
    <mergeCell ref="C52:C53"/>
    <mergeCell ref="D52:D53"/>
    <mergeCell ref="A50:A51"/>
    <mergeCell ref="B50:B51"/>
    <mergeCell ref="C50:C51"/>
    <mergeCell ref="D50:D51"/>
    <mergeCell ref="A48:A49"/>
    <mergeCell ref="B48:B49"/>
    <mergeCell ref="C48:C49"/>
    <mergeCell ref="D48:D49"/>
    <mergeCell ref="A46:A47"/>
    <mergeCell ref="B46:B47"/>
    <mergeCell ref="C46:C47"/>
    <mergeCell ref="D46:D47"/>
    <mergeCell ref="E40:E41"/>
    <mergeCell ref="A42:A43"/>
    <mergeCell ref="B42:B43"/>
    <mergeCell ref="C42:C43"/>
    <mergeCell ref="D42:D43"/>
    <mergeCell ref="E42:E43"/>
    <mergeCell ref="B38:B39"/>
    <mergeCell ref="C38:C39"/>
    <mergeCell ref="D38:D39"/>
    <mergeCell ref="A44:A45"/>
    <mergeCell ref="B44:B45"/>
    <mergeCell ref="C44:C45"/>
    <mergeCell ref="D44:D45"/>
    <mergeCell ref="D36:D37"/>
    <mergeCell ref="D34:D35"/>
    <mergeCell ref="E34:E35"/>
    <mergeCell ref="E36:E37"/>
    <mergeCell ref="C34:C35"/>
    <mergeCell ref="A40:A41"/>
    <mergeCell ref="B40:B41"/>
    <mergeCell ref="C40:C41"/>
    <mergeCell ref="D40:D41"/>
    <mergeCell ref="A38:A39"/>
    <mergeCell ref="F52:F53"/>
    <mergeCell ref="G52:G53"/>
    <mergeCell ref="A32:A33"/>
    <mergeCell ref="B32:B33"/>
    <mergeCell ref="C32:C33"/>
    <mergeCell ref="D32:D33"/>
    <mergeCell ref="E32:E33"/>
    <mergeCell ref="A34:A35"/>
    <mergeCell ref="B34:B35"/>
    <mergeCell ref="A36:A37"/>
    <mergeCell ref="G48:G49"/>
    <mergeCell ref="F50:F51"/>
    <mergeCell ref="G50:G51"/>
    <mergeCell ref="F44:F45"/>
    <mergeCell ref="G44:G45"/>
    <mergeCell ref="F46:F47"/>
    <mergeCell ref="G46:G47"/>
    <mergeCell ref="F48:F49"/>
    <mergeCell ref="F42:F43"/>
    <mergeCell ref="G42:G43"/>
    <mergeCell ref="F36:F37"/>
    <mergeCell ref="G36:G37"/>
    <mergeCell ref="F38:F39"/>
    <mergeCell ref="G38:G39"/>
    <mergeCell ref="G34:G35"/>
    <mergeCell ref="F24:F25"/>
    <mergeCell ref="F26:F27"/>
    <mergeCell ref="F28:F29"/>
    <mergeCell ref="G30:G31"/>
    <mergeCell ref="G40:G41"/>
    <mergeCell ref="G32:G33"/>
    <mergeCell ref="F8:F9"/>
    <mergeCell ref="F10:F11"/>
    <mergeCell ref="F16:F17"/>
    <mergeCell ref="F18:F19"/>
    <mergeCell ref="A4:A5"/>
    <mergeCell ref="B4:B5"/>
    <mergeCell ref="C4:C5"/>
    <mergeCell ref="D4:D5"/>
    <mergeCell ref="C6:C7"/>
    <mergeCell ref="D6:D7"/>
    <mergeCell ref="E6:E7"/>
    <mergeCell ref="G6:G7"/>
    <mergeCell ref="F6:F7"/>
    <mergeCell ref="E4:F5"/>
    <mergeCell ref="A6:A7"/>
    <mergeCell ref="B6:B7"/>
    <mergeCell ref="A8:A9"/>
    <mergeCell ref="B8:B9"/>
    <mergeCell ref="A10:A11"/>
    <mergeCell ref="B10:B11"/>
    <mergeCell ref="C10:C11"/>
    <mergeCell ref="D10:D11"/>
    <mergeCell ref="A12:A13"/>
    <mergeCell ref="B12:B13"/>
    <mergeCell ref="C12:C13"/>
    <mergeCell ref="D12:D13"/>
    <mergeCell ref="E12:E13"/>
    <mergeCell ref="G12:G13"/>
    <mergeCell ref="E14:E15"/>
    <mergeCell ref="G14:G15"/>
    <mergeCell ref="F12:F13"/>
    <mergeCell ref="F14:F15"/>
    <mergeCell ref="E16:E17"/>
    <mergeCell ref="G16:G17"/>
    <mergeCell ref="A14:A15"/>
    <mergeCell ref="B14:B15"/>
    <mergeCell ref="A16:A17"/>
    <mergeCell ref="B16:B17"/>
    <mergeCell ref="C16:C17"/>
    <mergeCell ref="D16:D17"/>
    <mergeCell ref="C14:C15"/>
    <mergeCell ref="D14:D15"/>
    <mergeCell ref="A18:A19"/>
    <mergeCell ref="B18:B19"/>
    <mergeCell ref="C18:C19"/>
    <mergeCell ref="D18:D19"/>
    <mergeCell ref="E22:E23"/>
    <mergeCell ref="G22:G23"/>
    <mergeCell ref="A20:A21"/>
    <mergeCell ref="B20:B21"/>
    <mergeCell ref="C20:C21"/>
    <mergeCell ref="D20:D21"/>
    <mergeCell ref="F20:F21"/>
    <mergeCell ref="F22:F23"/>
    <mergeCell ref="E18:E19"/>
    <mergeCell ref="G18:G19"/>
    <mergeCell ref="E20:E21"/>
    <mergeCell ref="G20:G21"/>
    <mergeCell ref="A22:A23"/>
    <mergeCell ref="B22:B23"/>
    <mergeCell ref="A24:A25"/>
    <mergeCell ref="B24:B25"/>
    <mergeCell ref="C24:C25"/>
    <mergeCell ref="D24:D25"/>
    <mergeCell ref="C22:C23"/>
    <mergeCell ref="D22:D23"/>
    <mergeCell ref="E24:E25"/>
    <mergeCell ref="G24:G25"/>
    <mergeCell ref="E28:E29"/>
    <mergeCell ref="G28:G29"/>
    <mergeCell ref="C26:C27"/>
    <mergeCell ref="D26:D27"/>
    <mergeCell ref="E26:E27"/>
    <mergeCell ref="G26:G27"/>
    <mergeCell ref="A26:A27"/>
    <mergeCell ref="B26:B27"/>
    <mergeCell ref="A30:A31"/>
    <mergeCell ref="B30:B31"/>
    <mergeCell ref="C30:C31"/>
    <mergeCell ref="D30:D31"/>
    <mergeCell ref="A92:A93"/>
    <mergeCell ref="B92:B93"/>
    <mergeCell ref="C92:C93"/>
    <mergeCell ref="D92:D93"/>
    <mergeCell ref="A28:A29"/>
    <mergeCell ref="B28:B29"/>
    <mergeCell ref="C28:C29"/>
    <mergeCell ref="D28:D29"/>
    <mergeCell ref="B36:B37"/>
    <mergeCell ref="C36:C37"/>
    <mergeCell ref="C96:C97"/>
    <mergeCell ref="D96:D97"/>
    <mergeCell ref="E96:E97"/>
    <mergeCell ref="F96:F97"/>
    <mergeCell ref="E30:E31"/>
    <mergeCell ref="F30:F31"/>
    <mergeCell ref="F32:F33"/>
    <mergeCell ref="F40:F41"/>
    <mergeCell ref="E38:E39"/>
    <mergeCell ref="F34:F35"/>
    <mergeCell ref="G92:G93"/>
    <mergeCell ref="A94:A95"/>
    <mergeCell ref="B94:B95"/>
    <mergeCell ref="C94:C95"/>
    <mergeCell ref="D94:D95"/>
    <mergeCell ref="E94:E95"/>
    <mergeCell ref="E92:E93"/>
    <mergeCell ref="F92:F93"/>
    <mergeCell ref="F94:F95"/>
    <mergeCell ref="G94:G95"/>
    <mergeCell ref="G96:G97"/>
    <mergeCell ref="A98:A99"/>
    <mergeCell ref="B98:B99"/>
    <mergeCell ref="C98:C99"/>
    <mergeCell ref="D98:D99"/>
    <mergeCell ref="E98:E99"/>
    <mergeCell ref="F98:F99"/>
    <mergeCell ref="G98:G99"/>
    <mergeCell ref="A96:A97"/>
    <mergeCell ref="B96:B97"/>
    <mergeCell ref="F102:F103"/>
    <mergeCell ref="G102:G103"/>
    <mergeCell ref="A100:A101"/>
    <mergeCell ref="B100:B101"/>
    <mergeCell ref="C100:C101"/>
    <mergeCell ref="D100:D101"/>
    <mergeCell ref="E100:E101"/>
    <mergeCell ref="F100:F101"/>
    <mergeCell ref="C104:C105"/>
    <mergeCell ref="D104:D105"/>
    <mergeCell ref="E104:E105"/>
    <mergeCell ref="F104:F105"/>
    <mergeCell ref="G100:G101"/>
    <mergeCell ref="A102:A103"/>
    <mergeCell ref="B102:B103"/>
    <mergeCell ref="C102:C103"/>
    <mergeCell ref="D102:D103"/>
    <mergeCell ref="E102:E103"/>
    <mergeCell ref="G104:G105"/>
    <mergeCell ref="A106:A107"/>
    <mergeCell ref="B106:B107"/>
    <mergeCell ref="C106:C107"/>
    <mergeCell ref="D106:D107"/>
    <mergeCell ref="E106:E107"/>
    <mergeCell ref="F106:F107"/>
    <mergeCell ref="G106:G107"/>
    <mergeCell ref="A104:A105"/>
    <mergeCell ref="B104:B105"/>
    <mergeCell ref="F110:F111"/>
    <mergeCell ref="G110:G111"/>
    <mergeCell ref="A108:A109"/>
    <mergeCell ref="B108:B109"/>
    <mergeCell ref="C108:C109"/>
    <mergeCell ref="D108:D109"/>
    <mergeCell ref="E108:E109"/>
    <mergeCell ref="F108:F109"/>
    <mergeCell ref="C112:C113"/>
    <mergeCell ref="D112:D113"/>
    <mergeCell ref="E112:E113"/>
    <mergeCell ref="F112:F113"/>
    <mergeCell ref="G108:G109"/>
    <mergeCell ref="A110:A111"/>
    <mergeCell ref="B110:B111"/>
    <mergeCell ref="C110:C111"/>
    <mergeCell ref="D110:D111"/>
    <mergeCell ref="E110:E111"/>
    <mergeCell ref="G112:G113"/>
    <mergeCell ref="A114:A115"/>
    <mergeCell ref="B114:B115"/>
    <mergeCell ref="C114:C115"/>
    <mergeCell ref="D114:D115"/>
    <mergeCell ref="E114:E115"/>
    <mergeCell ref="F114:F115"/>
    <mergeCell ref="G114:G115"/>
    <mergeCell ref="A112:A113"/>
    <mergeCell ref="B112:B113"/>
    <mergeCell ref="F118:F119"/>
    <mergeCell ref="G118:G119"/>
    <mergeCell ref="A116:A117"/>
    <mergeCell ref="B116:B117"/>
    <mergeCell ref="C116:C117"/>
    <mergeCell ref="D116:D117"/>
    <mergeCell ref="E116:E117"/>
    <mergeCell ref="F116:F117"/>
    <mergeCell ref="C120:C121"/>
    <mergeCell ref="D120:D121"/>
    <mergeCell ref="E120:E121"/>
    <mergeCell ref="F120:F121"/>
    <mergeCell ref="G116:G117"/>
    <mergeCell ref="A118:A119"/>
    <mergeCell ref="B118:B119"/>
    <mergeCell ref="C118:C119"/>
    <mergeCell ref="D118:D119"/>
    <mergeCell ref="E118:E119"/>
    <mergeCell ref="G120:G121"/>
    <mergeCell ref="A122:A123"/>
    <mergeCell ref="B122:B123"/>
    <mergeCell ref="C122:C123"/>
    <mergeCell ref="D122:D123"/>
    <mergeCell ref="E122:E123"/>
    <mergeCell ref="F122:F123"/>
    <mergeCell ref="G122:G123"/>
    <mergeCell ref="A120:A121"/>
    <mergeCell ref="B120:B121"/>
    <mergeCell ref="F126:F127"/>
    <mergeCell ref="G126:G127"/>
    <mergeCell ref="A124:A125"/>
    <mergeCell ref="B124:B125"/>
    <mergeCell ref="C124:C125"/>
    <mergeCell ref="D124:D125"/>
    <mergeCell ref="E124:E125"/>
    <mergeCell ref="F124:F125"/>
    <mergeCell ref="C128:C129"/>
    <mergeCell ref="D128:D129"/>
    <mergeCell ref="E128:E129"/>
    <mergeCell ref="F128:F129"/>
    <mergeCell ref="G124:G125"/>
    <mergeCell ref="A126:A127"/>
    <mergeCell ref="B126:B127"/>
    <mergeCell ref="C126:C127"/>
    <mergeCell ref="D126:D127"/>
    <mergeCell ref="E126:E127"/>
    <mergeCell ref="G128:G129"/>
    <mergeCell ref="A130:A131"/>
    <mergeCell ref="B130:B131"/>
    <mergeCell ref="C130:C131"/>
    <mergeCell ref="D130:D131"/>
    <mergeCell ref="E130:E131"/>
    <mergeCell ref="F130:F131"/>
    <mergeCell ref="G130:G131"/>
    <mergeCell ref="A128:A129"/>
    <mergeCell ref="B128:B129"/>
    <mergeCell ref="E132:E133"/>
    <mergeCell ref="F132:F133"/>
    <mergeCell ref="G132:G133"/>
    <mergeCell ref="A132:A133"/>
    <mergeCell ref="B132:B133"/>
    <mergeCell ref="C132:C133"/>
    <mergeCell ref="D132:D133"/>
    <mergeCell ref="H8:H9"/>
    <mergeCell ref="H10:H11"/>
    <mergeCell ref="B2:C2"/>
    <mergeCell ref="E10:E11"/>
    <mergeCell ref="G10:G11"/>
    <mergeCell ref="E8:E9"/>
    <mergeCell ref="G8:G9"/>
    <mergeCell ref="C8:C9"/>
    <mergeCell ref="D8:D9"/>
    <mergeCell ref="G4:G5"/>
    <mergeCell ref="H20:H21"/>
    <mergeCell ref="H22:H23"/>
    <mergeCell ref="D2:H2"/>
    <mergeCell ref="A1:H1"/>
    <mergeCell ref="H12:H13"/>
    <mergeCell ref="H14:H15"/>
    <mergeCell ref="H16:H17"/>
    <mergeCell ref="H18:H19"/>
    <mergeCell ref="H4:H5"/>
    <mergeCell ref="H6:H7"/>
    <mergeCell ref="H24:H25"/>
    <mergeCell ref="H26:H27"/>
    <mergeCell ref="H28:H29"/>
    <mergeCell ref="H30:H31"/>
    <mergeCell ref="H32:H33"/>
    <mergeCell ref="H34:H35"/>
    <mergeCell ref="H36:H37"/>
    <mergeCell ref="H38:H39"/>
    <mergeCell ref="H40:H41"/>
    <mergeCell ref="H42:H43"/>
    <mergeCell ref="H44:H45"/>
    <mergeCell ref="H46:H47"/>
    <mergeCell ref="H48:H49"/>
    <mergeCell ref="H50:H51"/>
    <mergeCell ref="H52:H53"/>
    <mergeCell ref="H54:H55"/>
    <mergeCell ref="H56:H57"/>
    <mergeCell ref="H58:H59"/>
    <mergeCell ref="H60:H61"/>
    <mergeCell ref="H62:H63"/>
    <mergeCell ref="H64:H65"/>
    <mergeCell ref="H66:H67"/>
    <mergeCell ref="H68:H69"/>
    <mergeCell ref="H70:H71"/>
    <mergeCell ref="H72:H73"/>
    <mergeCell ref="H74:H75"/>
    <mergeCell ref="H76:H77"/>
    <mergeCell ref="H78:H79"/>
    <mergeCell ref="H80:H81"/>
    <mergeCell ref="H82:H83"/>
    <mergeCell ref="H108:H109"/>
    <mergeCell ref="H110:H111"/>
    <mergeCell ref="H112:H113"/>
    <mergeCell ref="H114:H115"/>
    <mergeCell ref="H84:H85"/>
    <mergeCell ref="H86:H87"/>
    <mergeCell ref="H88:H89"/>
    <mergeCell ref="H90:H91"/>
    <mergeCell ref="H92:H93"/>
    <mergeCell ref="H94:H95"/>
    <mergeCell ref="N4:Q4"/>
    <mergeCell ref="S4:S5"/>
    <mergeCell ref="J16:J17"/>
    <mergeCell ref="K16:K17"/>
    <mergeCell ref="J10:J11"/>
    <mergeCell ref="K10:K11"/>
    <mergeCell ref="J4:J5"/>
    <mergeCell ref="K4:K5"/>
    <mergeCell ref="L4:L5"/>
    <mergeCell ref="M4:M5"/>
    <mergeCell ref="H130:H131"/>
    <mergeCell ref="H132:H133"/>
    <mergeCell ref="H120:H121"/>
    <mergeCell ref="H122:H123"/>
    <mergeCell ref="H124:H125"/>
    <mergeCell ref="H126:H127"/>
    <mergeCell ref="B3:G3"/>
    <mergeCell ref="H128:H129"/>
    <mergeCell ref="H96:H97"/>
    <mergeCell ref="H98:H99"/>
    <mergeCell ref="H100:H101"/>
    <mergeCell ref="H102:H103"/>
    <mergeCell ref="H116:H117"/>
    <mergeCell ref="H118:H119"/>
    <mergeCell ref="H104:H105"/>
    <mergeCell ref="H106:H107"/>
    <mergeCell ref="J12:J13"/>
    <mergeCell ref="K12:K13"/>
    <mergeCell ref="J14:J15"/>
    <mergeCell ref="K14:K15"/>
    <mergeCell ref="T4:T5"/>
    <mergeCell ref="U4:X4"/>
    <mergeCell ref="J6:J7"/>
    <mergeCell ref="K6:K7"/>
    <mergeCell ref="J8:J9"/>
    <mergeCell ref="K8:K9"/>
  </mergeCells>
  <printOptions horizontalCentered="1"/>
  <pageMargins left="0" right="0" top="0" bottom="0" header="0" footer="0"/>
  <pageSetup horizontalDpi="300" verticalDpi="300" orientation="portrait" paperSize="9" scale="9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1">
      <selection activeCell="A40" sqref="A1:H40"/>
    </sheetView>
  </sheetViews>
  <sheetFormatPr defaultColWidth="9.140625" defaultRowHeight="12.75"/>
  <sheetData>
    <row r="1" spans="1:8" ht="30.75" customHeight="1" thickBot="1">
      <c r="A1" s="538" t="str">
        <f>'[2]реквизиты'!$A$2</f>
        <v>Чемпионат России по  САМБО среди мужчин.</v>
      </c>
      <c r="B1" s="539"/>
      <c r="C1" s="539"/>
      <c r="D1" s="539"/>
      <c r="E1" s="539"/>
      <c r="F1" s="539"/>
      <c r="G1" s="539"/>
      <c r="H1" s="540"/>
    </row>
    <row r="2" spans="1:8" ht="12.75">
      <c r="A2" s="591" t="str">
        <f>'[2]реквизиты'!$A$3</f>
        <v>4-8 марта 2016.                                                         г.Химки</v>
      </c>
      <c r="B2" s="591"/>
      <c r="C2" s="591"/>
      <c r="D2" s="591"/>
      <c r="E2" s="591"/>
      <c r="F2" s="591"/>
      <c r="G2" s="591"/>
      <c r="H2" s="591"/>
    </row>
    <row r="3" spans="1:8" ht="18">
      <c r="A3" s="592" t="s">
        <v>33</v>
      </c>
      <c r="B3" s="592"/>
      <c r="C3" s="592"/>
      <c r="D3" s="592"/>
      <c r="E3" s="592"/>
      <c r="F3" s="592"/>
      <c r="G3" s="592"/>
      <c r="H3" s="592"/>
    </row>
    <row r="4" spans="2:8" ht="18">
      <c r="B4" s="65"/>
      <c r="C4" s="599" t="str">
        <f>'пр.взв.'!D4</f>
        <v>в.к. св 100 кг.</v>
      </c>
      <c r="D4" s="599"/>
      <c r="E4" s="599"/>
      <c r="F4" s="600"/>
      <c r="G4" s="66"/>
      <c r="H4" s="66"/>
    </row>
    <row r="5" spans="1:8" ht="18.75" thickBot="1">
      <c r="A5" s="66"/>
      <c r="B5" s="66"/>
      <c r="C5" s="66"/>
      <c r="D5" s="66"/>
      <c r="E5" s="66"/>
      <c r="F5" s="66"/>
      <c r="G5" s="66"/>
      <c r="H5" s="66"/>
    </row>
    <row r="6" spans="1:10" ht="18">
      <c r="A6" s="596" t="s">
        <v>34</v>
      </c>
      <c r="B6" s="576" t="str">
        <f>VLOOKUP(J6,'пр.взв.'!B7:H134,2,FALSE)</f>
        <v>ОСИПЕНКО Артем Иванович</v>
      </c>
      <c r="C6" s="576"/>
      <c r="D6" s="576"/>
      <c r="E6" s="576"/>
      <c r="F6" s="576"/>
      <c r="G6" s="576"/>
      <c r="H6" s="589" t="str">
        <f>VLOOKUP(J6,'пр.взв.'!B7:H134,3,FALSE)</f>
        <v>27.05.88 змс</v>
      </c>
      <c r="I6" s="66"/>
      <c r="J6" s="67">
        <f>'пр.хода'!M32</f>
        <v>29</v>
      </c>
    </row>
    <row r="7" spans="1:10" ht="18">
      <c r="A7" s="597"/>
      <c r="B7" s="577"/>
      <c r="C7" s="577"/>
      <c r="D7" s="577"/>
      <c r="E7" s="577"/>
      <c r="F7" s="577"/>
      <c r="G7" s="577"/>
      <c r="H7" s="590"/>
      <c r="I7" s="66"/>
      <c r="J7" s="67"/>
    </row>
    <row r="8" spans="1:10" ht="18">
      <c r="A8" s="597"/>
      <c r="B8" s="578" t="str">
        <f>VLOOKUP(J6,'пр.взв.'!B7:H134,5,FALSE)</f>
        <v>Брянская Брянск ВС</v>
      </c>
      <c r="C8" s="578"/>
      <c r="D8" s="578"/>
      <c r="E8" s="578"/>
      <c r="F8" s="578"/>
      <c r="G8" s="578"/>
      <c r="H8" s="579"/>
      <c r="I8" s="66"/>
      <c r="J8" s="67"/>
    </row>
    <row r="9" spans="1:10" ht="18.75" thickBot="1">
      <c r="A9" s="598"/>
      <c r="B9" s="580"/>
      <c r="C9" s="580"/>
      <c r="D9" s="580"/>
      <c r="E9" s="580"/>
      <c r="F9" s="580"/>
      <c r="G9" s="580"/>
      <c r="H9" s="581"/>
      <c r="I9" s="66"/>
      <c r="J9" s="67"/>
    </row>
    <row r="10" spans="1:10" ht="18.75" thickBot="1">
      <c r="A10" s="66"/>
      <c r="B10" s="66"/>
      <c r="C10" s="66"/>
      <c r="D10" s="66"/>
      <c r="E10" s="66"/>
      <c r="F10" s="66"/>
      <c r="G10" s="66"/>
      <c r="H10" s="66"/>
      <c r="I10" s="66"/>
      <c r="J10" s="67"/>
    </row>
    <row r="11" spans="1:10" ht="18">
      <c r="A11" s="593" t="s">
        <v>35</v>
      </c>
      <c r="B11" s="576" t="str">
        <f>VLOOKUP(J11,'пр.взв.'!B7:H134,2,FALSE)</f>
        <v>АРСЛАНОВ Рустем Разитович</v>
      </c>
      <c r="C11" s="576"/>
      <c r="D11" s="576"/>
      <c r="E11" s="576"/>
      <c r="F11" s="576"/>
      <c r="G11" s="576"/>
      <c r="H11" s="589" t="str">
        <f>VLOOKUP(J11,'пр.взв.'!B7:H134,3,FALSE)</f>
        <v>31.07.80 мс</v>
      </c>
      <c r="I11" s="66"/>
      <c r="J11" s="67">
        <f>'пр.хода'!M40</f>
        <v>26</v>
      </c>
    </row>
    <row r="12" spans="1:10" ht="18">
      <c r="A12" s="594"/>
      <c r="B12" s="577"/>
      <c r="C12" s="577"/>
      <c r="D12" s="577"/>
      <c r="E12" s="577"/>
      <c r="F12" s="577"/>
      <c r="G12" s="577"/>
      <c r="H12" s="590"/>
      <c r="I12" s="66"/>
      <c r="J12" s="67"/>
    </row>
    <row r="13" spans="1:10" ht="18">
      <c r="A13" s="594"/>
      <c r="B13" s="578" t="str">
        <f>VLOOKUP(J11,'пр.взв.'!B7:H134,5,FALSE)</f>
        <v>Башкортостан Уфа Д</v>
      </c>
      <c r="C13" s="578"/>
      <c r="D13" s="578"/>
      <c r="E13" s="578"/>
      <c r="F13" s="578"/>
      <c r="G13" s="578"/>
      <c r="H13" s="579"/>
      <c r="I13" s="66"/>
      <c r="J13" s="67"/>
    </row>
    <row r="14" spans="1:10" ht="18.75" thickBot="1">
      <c r="A14" s="595"/>
      <c r="B14" s="580"/>
      <c r="C14" s="580"/>
      <c r="D14" s="580"/>
      <c r="E14" s="580"/>
      <c r="F14" s="580"/>
      <c r="G14" s="580"/>
      <c r="H14" s="581"/>
      <c r="I14" s="66"/>
      <c r="J14" s="67"/>
    </row>
    <row r="15" spans="1:10" ht="18.75" thickBot="1">
      <c r="A15" s="66"/>
      <c r="B15" s="66"/>
      <c r="C15" s="66"/>
      <c r="D15" s="66"/>
      <c r="E15" s="66"/>
      <c r="F15" s="66"/>
      <c r="G15" s="66"/>
      <c r="H15" s="66"/>
      <c r="I15" s="66"/>
      <c r="J15" s="67"/>
    </row>
    <row r="16" spans="1:10" ht="18">
      <c r="A16" s="586" t="s">
        <v>36</v>
      </c>
      <c r="B16" s="576" t="str">
        <f>VLOOKUP(J16,'пр.взв.'!B7:H134,2,FALSE)</f>
        <v>АБУЛАДЗЕ Паата Венорович</v>
      </c>
      <c r="C16" s="576"/>
      <c r="D16" s="576"/>
      <c r="E16" s="576"/>
      <c r="F16" s="576"/>
      <c r="G16" s="576"/>
      <c r="H16" s="589" t="str">
        <f>VLOOKUP(J16,'пр.взв.'!B7:H134,3,FALSE)</f>
        <v>15.06.91, КМС</v>
      </c>
      <c r="I16" s="66"/>
      <c r="J16" s="103">
        <f>'пр.хода'!R18</f>
        <v>12</v>
      </c>
    </row>
    <row r="17" spans="1:10" ht="18">
      <c r="A17" s="587"/>
      <c r="B17" s="577"/>
      <c r="C17" s="577"/>
      <c r="D17" s="577"/>
      <c r="E17" s="577"/>
      <c r="F17" s="577"/>
      <c r="G17" s="577"/>
      <c r="H17" s="590"/>
      <c r="I17" s="66"/>
      <c r="J17" s="67"/>
    </row>
    <row r="18" spans="1:10" ht="18">
      <c r="A18" s="587"/>
      <c r="B18" s="578" t="str">
        <f>VLOOKUP(J16,'пр.взв.'!B7:H134,5,FALSE)</f>
        <v>Краснодарский, Краснодар Д</v>
      </c>
      <c r="C18" s="578"/>
      <c r="D18" s="578"/>
      <c r="E18" s="578"/>
      <c r="F18" s="578"/>
      <c r="G18" s="578"/>
      <c r="H18" s="579"/>
      <c r="I18" s="66"/>
      <c r="J18" s="67"/>
    </row>
    <row r="19" spans="1:10" ht="18.75" thickBot="1">
      <c r="A19" s="588"/>
      <c r="B19" s="580"/>
      <c r="C19" s="580"/>
      <c r="D19" s="580"/>
      <c r="E19" s="580"/>
      <c r="F19" s="580"/>
      <c r="G19" s="580"/>
      <c r="H19" s="581"/>
      <c r="I19" s="66"/>
      <c r="J19" s="67"/>
    </row>
    <row r="20" spans="1:10" ht="18.75" thickBot="1">
      <c r="A20" s="66"/>
      <c r="B20" s="66"/>
      <c r="C20" s="66"/>
      <c r="D20" s="66"/>
      <c r="E20" s="66"/>
      <c r="F20" s="66"/>
      <c r="G20" s="66"/>
      <c r="H20" s="66"/>
      <c r="I20" s="66"/>
      <c r="J20" s="67"/>
    </row>
    <row r="21" spans="1:10" ht="18">
      <c r="A21" s="586" t="s">
        <v>36</v>
      </c>
      <c r="B21" s="576" t="str">
        <f>VLOOKUP(J21,'пр.взв.'!B7:H134,2,FALSE)</f>
        <v>КУЧУМОВ Александр Николаевич</v>
      </c>
      <c r="C21" s="576"/>
      <c r="D21" s="576"/>
      <c r="E21" s="576"/>
      <c r="F21" s="576"/>
      <c r="G21" s="576"/>
      <c r="H21" s="589" t="str">
        <f>VLOOKUP(J21,'пр.взв.'!B7:H134,3,FALSE)</f>
        <v>06.11.90, мсмк</v>
      </c>
      <c r="I21" s="66"/>
      <c r="J21" s="67">
        <f>'пр.хода'!R67</f>
        <v>6</v>
      </c>
    </row>
    <row r="22" spans="1:10" ht="18">
      <c r="A22" s="587"/>
      <c r="B22" s="577"/>
      <c r="C22" s="577"/>
      <c r="D22" s="577"/>
      <c r="E22" s="577"/>
      <c r="F22" s="577"/>
      <c r="G22" s="577"/>
      <c r="H22" s="590"/>
      <c r="I22" s="66"/>
      <c r="J22" s="67"/>
    </row>
    <row r="23" spans="1:9" ht="18">
      <c r="A23" s="587"/>
      <c r="B23" s="578" t="str">
        <f>VLOOKUP(J21,'пр.взв.'!B7:H134,5,FALSE)</f>
        <v>г. Москва, Д</v>
      </c>
      <c r="C23" s="578"/>
      <c r="D23" s="578"/>
      <c r="E23" s="578"/>
      <c r="F23" s="578"/>
      <c r="G23" s="578"/>
      <c r="H23" s="579"/>
      <c r="I23" s="66"/>
    </row>
    <row r="24" spans="1:9" ht="18.75" thickBot="1">
      <c r="A24" s="588"/>
      <c r="B24" s="580"/>
      <c r="C24" s="580"/>
      <c r="D24" s="580"/>
      <c r="E24" s="580"/>
      <c r="F24" s="580"/>
      <c r="G24" s="580"/>
      <c r="H24" s="581"/>
      <c r="I24" s="66"/>
    </row>
    <row r="25" spans="1:8" ht="18">
      <c r="A25" s="66"/>
      <c r="B25" s="66"/>
      <c r="C25" s="66"/>
      <c r="D25" s="66"/>
      <c r="E25" s="66"/>
      <c r="F25" s="66"/>
      <c r="G25" s="66"/>
      <c r="H25" s="66"/>
    </row>
    <row r="26" spans="1:8" ht="18">
      <c r="A26" s="66" t="s">
        <v>57</v>
      </c>
      <c r="B26" s="66"/>
      <c r="C26" s="66"/>
      <c r="D26" s="66"/>
      <c r="E26" s="66"/>
      <c r="F26" s="66"/>
      <c r="G26" s="66"/>
      <c r="H26" s="66"/>
    </row>
    <row r="27" ht="13.5" thickBot="1"/>
    <row r="28" spans="1:10" ht="12.75">
      <c r="A28" s="582" t="str">
        <f>VLOOKUP(J28,'пр.взв.'!B7:H134,7,FALSE)</f>
        <v>Портнов СВ, Зубов РП</v>
      </c>
      <c r="B28" s="583"/>
      <c r="C28" s="583"/>
      <c r="D28" s="583"/>
      <c r="E28" s="583"/>
      <c r="F28" s="583"/>
      <c r="G28" s="583"/>
      <c r="H28" s="584"/>
      <c r="J28">
        <f>'пр.хода'!M32</f>
        <v>29</v>
      </c>
    </row>
    <row r="29" spans="1:8" ht="13.5" thickBot="1">
      <c r="A29" s="585"/>
      <c r="B29" s="580"/>
      <c r="C29" s="580"/>
      <c r="D29" s="580"/>
      <c r="E29" s="580"/>
      <c r="F29" s="580"/>
      <c r="G29" s="580"/>
      <c r="H29" s="581"/>
    </row>
    <row r="32" spans="1:8" ht="18">
      <c r="A32" s="66" t="s">
        <v>37</v>
      </c>
      <c r="B32" s="66"/>
      <c r="C32" s="66"/>
      <c r="D32" s="66"/>
      <c r="E32" s="66"/>
      <c r="F32" s="66"/>
      <c r="G32" s="66"/>
      <c r="H32" s="66"/>
    </row>
    <row r="33" spans="1:8" ht="18">
      <c r="A33" s="66"/>
      <c r="B33" s="66"/>
      <c r="C33" s="66"/>
      <c r="D33" s="66"/>
      <c r="E33" s="66"/>
      <c r="F33" s="66"/>
      <c r="G33" s="66"/>
      <c r="H33" s="66"/>
    </row>
    <row r="34" spans="1:8" ht="18">
      <c r="A34" s="66"/>
      <c r="B34" s="66"/>
      <c r="C34" s="66"/>
      <c r="D34" s="66"/>
      <c r="E34" s="66"/>
      <c r="F34" s="66"/>
      <c r="G34" s="66"/>
      <c r="H34" s="66"/>
    </row>
    <row r="35" spans="1:8" ht="18">
      <c r="A35" s="68"/>
      <c r="B35" s="68"/>
      <c r="C35" s="68"/>
      <c r="D35" s="68"/>
      <c r="E35" s="68"/>
      <c r="F35" s="68"/>
      <c r="G35" s="68"/>
      <c r="H35" s="68"/>
    </row>
    <row r="36" spans="1:8" ht="18">
      <c r="A36" s="69"/>
      <c r="B36" s="69"/>
      <c r="C36" s="69"/>
      <c r="D36" s="69"/>
      <c r="E36" s="69"/>
      <c r="F36" s="69"/>
      <c r="G36" s="69"/>
      <c r="H36" s="69"/>
    </row>
    <row r="37" spans="1:8" ht="18">
      <c r="A37" s="68"/>
      <c r="B37" s="68"/>
      <c r="C37" s="68"/>
      <c r="D37" s="68"/>
      <c r="E37" s="68"/>
      <c r="F37" s="68"/>
      <c r="G37" s="68"/>
      <c r="H37" s="68"/>
    </row>
    <row r="38" spans="1:8" ht="18">
      <c r="A38" s="70"/>
      <c r="B38" s="70"/>
      <c r="C38" s="70"/>
      <c r="D38" s="70"/>
      <c r="E38" s="70"/>
      <c r="F38" s="70"/>
      <c r="G38" s="70"/>
      <c r="H38" s="70"/>
    </row>
    <row r="39" spans="1:8" ht="18">
      <c r="A39" s="68"/>
      <c r="B39" s="68"/>
      <c r="C39" s="68"/>
      <c r="D39" s="68"/>
      <c r="E39" s="68"/>
      <c r="F39" s="68"/>
      <c r="G39" s="68"/>
      <c r="H39" s="68"/>
    </row>
    <row r="40" spans="1:8" ht="18">
      <c r="A40" s="70"/>
      <c r="B40" s="70"/>
      <c r="C40" s="70"/>
      <c r="D40" s="70"/>
      <c r="E40" s="70"/>
      <c r="F40" s="70"/>
      <c r="G40" s="70"/>
      <c r="H40" s="70"/>
    </row>
  </sheetData>
  <sheetProtection/>
  <mergeCells count="21">
    <mergeCell ref="H11:H12"/>
    <mergeCell ref="H16:H17"/>
    <mergeCell ref="A1:H1"/>
    <mergeCell ref="A2:H2"/>
    <mergeCell ref="A3:H3"/>
    <mergeCell ref="A11:A14"/>
    <mergeCell ref="A6:A9"/>
    <mergeCell ref="B8:H9"/>
    <mergeCell ref="B6:G7"/>
    <mergeCell ref="H6:H7"/>
    <mergeCell ref="C4:F4"/>
    <mergeCell ref="B11:G12"/>
    <mergeCell ref="B13:H14"/>
    <mergeCell ref="B18:H19"/>
    <mergeCell ref="B16:G17"/>
    <mergeCell ref="A28:H29"/>
    <mergeCell ref="A21:A24"/>
    <mergeCell ref="B21:G22"/>
    <mergeCell ref="H21:H22"/>
    <mergeCell ref="B23:H24"/>
    <mergeCell ref="A16:A19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2"/>
  </sheetPr>
  <dimension ref="A1:I107"/>
  <sheetViews>
    <sheetView zoomScalePageLayoutView="0" workbookViewId="0" topLeftCell="A1">
      <selection activeCell="A2" sqref="A2:G2"/>
    </sheetView>
  </sheetViews>
  <sheetFormatPr defaultColWidth="9.140625" defaultRowHeight="12.75"/>
  <cols>
    <col min="1" max="1" width="4.8515625" style="0" customWidth="1"/>
    <col min="2" max="2" width="14.00390625" style="0" customWidth="1"/>
    <col min="3" max="3" width="8.7109375" style="0" customWidth="1"/>
    <col min="4" max="4" width="14.57421875" style="0" customWidth="1"/>
    <col min="5" max="10" width="14.7109375" style="0" customWidth="1"/>
  </cols>
  <sheetData>
    <row r="1" spans="1:8" ht="12.75" customHeight="1">
      <c r="A1" s="607" t="str">
        <f>'[2]реквизиты'!$A$2</f>
        <v>Чемпионат России по  САМБО среди мужчин.</v>
      </c>
      <c r="B1" s="607"/>
      <c r="C1" s="607"/>
      <c r="D1" s="607"/>
      <c r="E1" s="607"/>
      <c r="F1" s="607"/>
      <c r="G1" s="607"/>
      <c r="H1" s="607"/>
    </row>
    <row r="2" spans="1:8" ht="13.5" customHeight="1" thickBot="1">
      <c r="A2" s="608"/>
      <c r="B2" s="609"/>
      <c r="C2" s="609"/>
      <c r="D2" s="609"/>
      <c r="E2" s="609"/>
      <c r="F2" s="609"/>
      <c r="G2" s="609"/>
      <c r="H2" s="610">
        <f>HYPERLINK('пр.взв.'!G4)</f>
      </c>
    </row>
    <row r="3" spans="1:8" ht="12" customHeight="1">
      <c r="A3" s="611">
        <v>2</v>
      </c>
      <c r="B3" s="603" t="str">
        <f>VLOOKUP(A3,'пр.взв.'!B6:C133,2,FALSE)</f>
        <v>МЕДВЕДЕВ Виктор Алексеевич</v>
      </c>
      <c r="C3" s="603" t="str">
        <f>VLOOKUP(A3,'пр.взв.'!B6:H133,3,FALSE)</f>
        <v>16.06.94 мс</v>
      </c>
      <c r="D3" s="603" t="str">
        <f>VLOOKUP(A3,'пр.взв.'!B6:F133,4,FALSE)</f>
        <v>ЦФО</v>
      </c>
      <c r="H3" s="610"/>
    </row>
    <row r="4" spans="1:8" ht="12" customHeight="1">
      <c r="A4" s="601"/>
      <c r="B4" s="604"/>
      <c r="C4" s="604"/>
      <c r="D4" s="604"/>
      <c r="E4" s="1"/>
      <c r="F4" s="1"/>
      <c r="H4" s="610" t="s">
        <v>10</v>
      </c>
    </row>
    <row r="5" spans="1:8" ht="12" customHeight="1">
      <c r="A5" s="601">
        <v>34</v>
      </c>
      <c r="B5" s="612" t="e">
        <f>VLOOKUP(A5,'пр.взв.'!B8:C135,2,FALSE)</f>
        <v>#N/A</v>
      </c>
      <c r="C5" s="612" t="e">
        <f>VLOOKUP(A5,'пр.взв.'!B8:H135,3,FALSE)</f>
        <v>#N/A</v>
      </c>
      <c r="D5" s="612" t="e">
        <f>VLOOKUP(A5,'пр.взв.'!B8:F135,4,FALSE)</f>
        <v>#N/A</v>
      </c>
      <c r="E5" s="3"/>
      <c r="F5" s="1"/>
      <c r="G5" s="1"/>
      <c r="H5" s="610"/>
    </row>
    <row r="6" spans="1:7" ht="12" customHeight="1" thickBot="1">
      <c r="A6" s="602"/>
      <c r="B6" s="613"/>
      <c r="C6" s="613"/>
      <c r="D6" s="613"/>
      <c r="E6" s="4"/>
      <c r="F6" s="8"/>
      <c r="G6" s="1"/>
    </row>
    <row r="7" spans="1:7" ht="12" customHeight="1">
      <c r="A7" s="611">
        <v>18</v>
      </c>
      <c r="B7" s="603" t="str">
        <f>VLOOKUP(A7,'пр.взв.'!B10:C137,2,FALSE)</f>
        <v>ХАПЦЕВ Артур Русланович</v>
      </c>
      <c r="C7" s="603" t="str">
        <f>VLOOKUP(A7,'пр.взв.'!B10:H137,3,FALSE)</f>
        <v>15.01.88, МС</v>
      </c>
      <c r="D7" s="603" t="str">
        <f>VLOOKUP(A7,'пр.взв.'!B10:F137,4,FALSE)</f>
        <v>УФО</v>
      </c>
      <c r="E7" s="4"/>
      <c r="F7" s="5"/>
      <c r="G7" s="1"/>
    </row>
    <row r="8" spans="1:7" ht="12" customHeight="1">
      <c r="A8" s="601"/>
      <c r="B8" s="604"/>
      <c r="C8" s="604"/>
      <c r="D8" s="604"/>
      <c r="E8" s="9"/>
      <c r="F8" s="6"/>
      <c r="G8" s="1"/>
    </row>
    <row r="9" spans="1:7" ht="12" customHeight="1">
      <c r="A9" s="601">
        <v>50</v>
      </c>
      <c r="B9" s="612" t="e">
        <f>VLOOKUP(A9,'пр.взв.'!B12:C139,2,FALSE)</f>
        <v>#N/A</v>
      </c>
      <c r="C9" s="612" t="e">
        <f>VLOOKUP(A9,'пр.взв.'!B12:H139,3,FALSE)</f>
        <v>#N/A</v>
      </c>
      <c r="D9" s="612" t="e">
        <f>VLOOKUP(A9,'пр.взв.'!B12:F139,4,FALSE)</f>
        <v>#N/A</v>
      </c>
      <c r="E9" s="2"/>
      <c r="F9" s="6"/>
      <c r="G9" s="1"/>
    </row>
    <row r="10" spans="1:7" ht="12" customHeight="1" thickBot="1">
      <c r="A10" s="602"/>
      <c r="B10" s="613"/>
      <c r="C10" s="613"/>
      <c r="D10" s="613"/>
      <c r="E10" s="1"/>
      <c r="F10" s="6"/>
      <c r="G10" s="8"/>
    </row>
    <row r="11" spans="1:7" ht="12" customHeight="1">
      <c r="A11" s="611">
        <v>10</v>
      </c>
      <c r="B11" s="603" t="str">
        <f>VLOOKUP(A11,'пр.взв.'!B14:C141,2,FALSE)</f>
        <v>МЕРЕТУКОВ Заур Довлетбиевич</v>
      </c>
      <c r="C11" s="603" t="str">
        <f>VLOOKUP(A11,'пр.взв.'!B14:H141,3,FALSE)</f>
        <v>08.10.93, КМС</v>
      </c>
      <c r="D11" s="603" t="str">
        <f>VLOOKUP(A11,'пр.взв.'!B14:F141,4,FALSE)</f>
        <v>МОС</v>
      </c>
      <c r="E11" s="1"/>
      <c r="F11" s="6"/>
      <c r="G11" s="5"/>
    </row>
    <row r="12" spans="1:7" ht="12" customHeight="1">
      <c r="A12" s="601"/>
      <c r="B12" s="604"/>
      <c r="C12" s="604"/>
      <c r="D12" s="604"/>
      <c r="E12" s="7"/>
      <c r="F12" s="6"/>
      <c r="G12" s="6"/>
    </row>
    <row r="13" spans="1:7" ht="12" customHeight="1">
      <c r="A13" s="601">
        <v>42</v>
      </c>
      <c r="B13" s="612" t="e">
        <f>VLOOKUP(A13,'пр.взв.'!B16:C143,2,FALSE)</f>
        <v>#N/A</v>
      </c>
      <c r="C13" s="612" t="e">
        <f>VLOOKUP(A13,'пр.взв.'!B16:H143,3,FALSE)</f>
        <v>#N/A</v>
      </c>
      <c r="D13" s="612" t="e">
        <f>VLOOKUP(A13,'пр.взв.'!B16:F143,4,FALSE)</f>
        <v>#N/A</v>
      </c>
      <c r="E13" s="3"/>
      <c r="F13" s="6"/>
      <c r="G13" s="6"/>
    </row>
    <row r="14" spans="1:7" ht="12" customHeight="1" thickBot="1">
      <c r="A14" s="602"/>
      <c r="B14" s="613"/>
      <c r="C14" s="613"/>
      <c r="D14" s="613"/>
      <c r="E14" s="4"/>
      <c r="F14" s="10"/>
      <c r="G14" s="6"/>
    </row>
    <row r="15" spans="1:7" ht="12" customHeight="1">
      <c r="A15" s="611">
        <v>26</v>
      </c>
      <c r="B15" s="603" t="str">
        <f>VLOOKUP(A15,'пр.взв.'!B18:C145,2,FALSE)</f>
        <v>АРСЛАНОВ Рустем Разитович</v>
      </c>
      <c r="C15" s="603" t="str">
        <f>VLOOKUP(A15,'пр.взв.'!B18:H145,3,FALSE)</f>
        <v>31.07.80 мс</v>
      </c>
      <c r="D15" s="603" t="str">
        <f>VLOOKUP(A15,'пр.взв.'!B18:F145,4,FALSE)</f>
        <v>ПФО</v>
      </c>
      <c r="E15" s="4"/>
      <c r="F15" s="1"/>
      <c r="G15" s="6"/>
    </row>
    <row r="16" spans="1:7" ht="12" customHeight="1">
      <c r="A16" s="601"/>
      <c r="B16" s="604"/>
      <c r="C16" s="604"/>
      <c r="D16" s="604"/>
      <c r="E16" s="9"/>
      <c r="F16" s="1"/>
      <c r="G16" s="6"/>
    </row>
    <row r="17" spans="1:7" ht="12" customHeight="1">
      <c r="A17" s="601">
        <v>58</v>
      </c>
      <c r="B17" s="612" t="e">
        <f>VLOOKUP(A17,'пр.взв.'!B20:C147,2,FALSE)</f>
        <v>#N/A</v>
      </c>
      <c r="C17" s="612" t="e">
        <f>VLOOKUP(A17,'пр.взв.'!B20:H147,3,FALSE)</f>
        <v>#N/A</v>
      </c>
      <c r="D17" s="612" t="e">
        <f>VLOOKUP(A17,'пр.взв.'!B20:F147,4,FALSE)</f>
        <v>#N/A</v>
      </c>
      <c r="E17" s="2"/>
      <c r="F17" s="1"/>
      <c r="G17" s="6"/>
    </row>
    <row r="18" spans="1:7" ht="12" customHeight="1" thickBot="1">
      <c r="A18" s="602"/>
      <c r="B18" s="613"/>
      <c r="C18" s="613"/>
      <c r="D18" s="613"/>
      <c r="E18" s="1"/>
      <c r="F18" s="1"/>
      <c r="G18" s="6"/>
    </row>
    <row r="19" spans="1:8" ht="12" customHeight="1">
      <c r="A19" s="611">
        <v>6</v>
      </c>
      <c r="B19" s="603" t="str">
        <f>VLOOKUP(A19,'пр.взв.'!B6:C133,2,FALSE)</f>
        <v>КУЧУМОВ Александр Николаевич</v>
      </c>
      <c r="C19" s="603" t="str">
        <f>VLOOKUP(A19,'пр.взв.'!B6:H133,3,FALSE)</f>
        <v>06.11.90, мсмк</v>
      </c>
      <c r="D19" s="603" t="str">
        <f>VLOOKUP(A19,'пр.взв.'!B6:H133,4,FALSE)</f>
        <v>МОС</v>
      </c>
      <c r="E19" s="1"/>
      <c r="F19" s="1"/>
      <c r="G19" s="6"/>
      <c r="H19" s="36"/>
    </row>
    <row r="20" spans="1:8" ht="12" customHeight="1">
      <c r="A20" s="601"/>
      <c r="B20" s="604"/>
      <c r="C20" s="604"/>
      <c r="D20" s="604"/>
      <c r="E20" s="7"/>
      <c r="F20" s="1"/>
      <c r="G20" s="6"/>
      <c r="H20" s="35"/>
    </row>
    <row r="21" spans="1:8" ht="12" customHeight="1">
      <c r="A21" s="601">
        <v>38</v>
      </c>
      <c r="B21" s="612" t="e">
        <f>VLOOKUP(A21,'пр.взв.'!B24:C151,2,FALSE)</f>
        <v>#N/A</v>
      </c>
      <c r="C21" s="612" t="e">
        <f>VLOOKUP(A21,'пр.взв.'!B24:H151,3,FALSE)</f>
        <v>#N/A</v>
      </c>
      <c r="D21" s="612" t="e">
        <f>VLOOKUP(A21,'пр.взв.'!B24:F151,4,FALSE)</f>
        <v>#N/A</v>
      </c>
      <c r="E21" s="3"/>
      <c r="F21" s="1"/>
      <c r="G21" s="6"/>
      <c r="H21" s="35"/>
    </row>
    <row r="22" spans="1:8" ht="12" customHeight="1" thickBot="1">
      <c r="A22" s="602"/>
      <c r="B22" s="613"/>
      <c r="C22" s="613"/>
      <c r="D22" s="613"/>
      <c r="E22" s="4"/>
      <c r="F22" s="8"/>
      <c r="G22" s="6"/>
      <c r="H22" s="35"/>
    </row>
    <row r="23" spans="1:8" ht="12" customHeight="1">
      <c r="A23" s="611">
        <v>22</v>
      </c>
      <c r="B23" s="603" t="str">
        <f>VLOOKUP(A23,'пр.взв.'!B26:C153,2,FALSE)</f>
        <v>ГЛАДКОВ Алексей Иванович</v>
      </c>
      <c r="C23" s="603" t="str">
        <f>VLOOKUP(A23,'пр.взв.'!B26:H153,3,FALSE)</f>
        <v>24.11.85, МС</v>
      </c>
      <c r="D23" s="603" t="str">
        <f>VLOOKUP(A23,'пр.взв.'!B26:F153,4,FALSE)</f>
        <v>СПБ</v>
      </c>
      <c r="E23" s="4"/>
      <c r="F23" s="5"/>
      <c r="G23" s="6"/>
      <c r="H23" s="35"/>
    </row>
    <row r="24" spans="1:8" ht="12" customHeight="1">
      <c r="A24" s="601"/>
      <c r="B24" s="604"/>
      <c r="C24" s="604"/>
      <c r="D24" s="604"/>
      <c r="E24" s="9"/>
      <c r="F24" s="6"/>
      <c r="G24" s="6"/>
      <c r="H24" s="35"/>
    </row>
    <row r="25" spans="1:8" ht="12" customHeight="1">
      <c r="A25" s="601">
        <v>54</v>
      </c>
      <c r="B25" s="612" t="e">
        <f>VLOOKUP(A25,'пр.взв.'!B28:C155,2,FALSE)</f>
        <v>#N/A</v>
      </c>
      <c r="C25" s="612" t="e">
        <f>VLOOKUP(A25,'пр.взв.'!B28:H155,3,FALSE)</f>
        <v>#N/A</v>
      </c>
      <c r="D25" s="612" t="e">
        <f>VLOOKUP(A25,'пр.взв.'!B28:F155,4,FALSE)</f>
        <v>#N/A</v>
      </c>
      <c r="E25" s="2"/>
      <c r="F25" s="6"/>
      <c r="G25" s="6"/>
      <c r="H25" s="35"/>
    </row>
    <row r="26" spans="1:8" ht="12" customHeight="1" thickBot="1">
      <c r="A26" s="602"/>
      <c r="B26" s="613"/>
      <c r="C26" s="613"/>
      <c r="D26" s="613"/>
      <c r="E26" s="1"/>
      <c r="F26" s="6"/>
      <c r="G26" s="6"/>
      <c r="H26" s="35"/>
    </row>
    <row r="27" spans="1:8" ht="12" customHeight="1">
      <c r="A27" s="611">
        <v>14</v>
      </c>
      <c r="B27" s="603" t="str">
        <f>VLOOKUP(A27,'пр.взв.'!B30:C157,2,FALSE)</f>
        <v>КУНДУКОВ Роман Николаевич</v>
      </c>
      <c r="C27" s="603" t="str">
        <f>VLOOKUP(A27,'пр.взв.'!B30:H157,3,FALSE)</f>
        <v>11.11.93, кмс</v>
      </c>
      <c r="D27" s="603" t="str">
        <f>VLOOKUP(A27,'пр.взв.'!B30:F157,4,FALSE)</f>
        <v>СЗФО</v>
      </c>
      <c r="E27" s="1"/>
      <c r="F27" s="6"/>
      <c r="G27" s="10"/>
      <c r="H27" s="35"/>
    </row>
    <row r="28" spans="1:8" ht="12" customHeight="1">
      <c r="A28" s="601"/>
      <c r="B28" s="604"/>
      <c r="C28" s="604"/>
      <c r="D28" s="604"/>
      <c r="E28" s="7"/>
      <c r="F28" s="6"/>
      <c r="G28" s="1"/>
      <c r="H28" s="35"/>
    </row>
    <row r="29" spans="1:8" ht="12" customHeight="1">
      <c r="A29" s="601">
        <v>46</v>
      </c>
      <c r="B29" s="612" t="e">
        <f>VLOOKUP(A29,'пр.взв.'!B32:C159,2,FALSE)</f>
        <v>#N/A</v>
      </c>
      <c r="C29" s="612" t="e">
        <f>VLOOKUP(A29,'пр.взв.'!B32:H159,3,FALSE)</f>
        <v>#N/A</v>
      </c>
      <c r="D29" s="612" t="e">
        <f>VLOOKUP(A29,'пр.взв.'!B32:F159,4,FALSE)</f>
        <v>#N/A</v>
      </c>
      <c r="E29" s="3"/>
      <c r="F29" s="6"/>
      <c r="G29" s="1"/>
      <c r="H29" s="35"/>
    </row>
    <row r="30" spans="1:8" ht="12" customHeight="1" thickBot="1">
      <c r="A30" s="602"/>
      <c r="B30" s="613"/>
      <c r="C30" s="613"/>
      <c r="D30" s="613"/>
      <c r="E30" s="4"/>
      <c r="F30" s="10"/>
      <c r="G30" s="1"/>
      <c r="H30" s="35"/>
    </row>
    <row r="31" spans="1:8" ht="12" customHeight="1">
      <c r="A31" s="611">
        <v>30</v>
      </c>
      <c r="B31" s="603" t="str">
        <f>VLOOKUP(A31,'пр.взв.'!B34:C161,2,FALSE)</f>
        <v>ТАЧКОВ Иван Дмитриевич</v>
      </c>
      <c r="C31" s="603" t="str">
        <f>VLOOKUP(A31,'пр.взв.'!B34:H161,3,FALSE)</f>
        <v>25.03.97 мс</v>
      </c>
      <c r="D31" s="603" t="str">
        <f>VLOOKUP(A31,'пр.взв.'!B34:F161,4,FALSE)</f>
        <v>УФО</v>
      </c>
      <c r="E31" s="4"/>
      <c r="F31" s="1"/>
      <c r="G31" s="1"/>
      <c r="H31" s="35"/>
    </row>
    <row r="32" spans="1:8" ht="12" customHeight="1">
      <c r="A32" s="601"/>
      <c r="B32" s="604"/>
      <c r="C32" s="604"/>
      <c r="D32" s="604"/>
      <c r="E32" s="9"/>
      <c r="F32" s="1"/>
      <c r="G32" s="1"/>
      <c r="H32" s="35"/>
    </row>
    <row r="33" spans="1:8" ht="12" customHeight="1">
      <c r="A33" s="601">
        <v>62</v>
      </c>
      <c r="B33" s="612" t="e">
        <f>VLOOKUP(A33,'пр.взв.'!B36:C163,2,FALSE)</f>
        <v>#N/A</v>
      </c>
      <c r="C33" s="612" t="e">
        <f>VLOOKUP(A33,'пр.взв.'!B36:H163,3,FALSE)</f>
        <v>#N/A</v>
      </c>
      <c r="D33" s="612" t="e">
        <f>VLOOKUP(A33,'пр.взв.'!B36:F163,4,FALSE)</f>
        <v>#N/A</v>
      </c>
      <c r="E33" s="2"/>
      <c r="F33" s="1"/>
      <c r="G33" s="1"/>
      <c r="H33" s="35"/>
    </row>
    <row r="34" spans="1:8" ht="12" customHeight="1" thickBot="1">
      <c r="A34" s="602"/>
      <c r="B34" s="613"/>
      <c r="C34" s="613"/>
      <c r="D34" s="613"/>
      <c r="H34" s="35"/>
    </row>
    <row r="35" spans="1:8" ht="12" customHeight="1" thickBot="1">
      <c r="A35" s="45"/>
      <c r="B35" s="48"/>
      <c r="C35" s="48"/>
      <c r="D35" s="49"/>
      <c r="E35" s="1"/>
      <c r="F35" s="1"/>
      <c r="G35" s="1"/>
      <c r="H35" s="37"/>
    </row>
    <row r="36" spans="1:8" ht="12" customHeight="1">
      <c r="A36" s="611">
        <v>4</v>
      </c>
      <c r="B36" s="603" t="str">
        <f>VLOOKUP(A36,'пр.взв.'!B6:H133,2,FALSE)</f>
        <v>ШИРЯЕВ Максим Сергеевич</v>
      </c>
      <c r="C36" s="603" t="str">
        <f>VLOOKUP(A36,'пр.взв.'!B6:H133,3,FALSE)</f>
        <v>18.03.88, МСМК</v>
      </c>
      <c r="D36" s="603" t="str">
        <f>VLOOKUP(A36,'пр.взв.'!B6:H133,4,FALSE)</f>
        <v>МОС</v>
      </c>
      <c r="H36" s="35"/>
    </row>
    <row r="37" spans="1:8" ht="12" customHeight="1">
      <c r="A37" s="601"/>
      <c r="B37" s="604"/>
      <c r="C37" s="604"/>
      <c r="D37" s="604"/>
      <c r="E37" s="1"/>
      <c r="F37" s="1"/>
      <c r="H37" s="35"/>
    </row>
    <row r="38" spans="1:8" ht="12" customHeight="1">
      <c r="A38" s="601">
        <v>36</v>
      </c>
      <c r="B38" s="612" t="e">
        <f>VLOOKUP(A38,'пр.взв.'!B8:H135,2,FALSE)</f>
        <v>#N/A</v>
      </c>
      <c r="C38" s="612" t="e">
        <f>VLOOKUP(A38,'пр.взв.'!B8:H135,3,FALSE)</f>
        <v>#N/A</v>
      </c>
      <c r="D38" s="612" t="e">
        <f>VLOOKUP(A38,'пр.взв.'!B8:H135,4,FALSE)</f>
        <v>#N/A</v>
      </c>
      <c r="E38" s="3"/>
      <c r="F38" s="1"/>
      <c r="G38" s="1"/>
      <c r="H38" s="35"/>
    </row>
    <row r="39" spans="1:8" ht="12" customHeight="1" thickBot="1">
      <c r="A39" s="602"/>
      <c r="B39" s="613"/>
      <c r="C39" s="613"/>
      <c r="D39" s="613"/>
      <c r="E39" s="4"/>
      <c r="F39" s="8"/>
      <c r="G39" s="1"/>
      <c r="H39" s="35"/>
    </row>
    <row r="40" spans="1:8" ht="12" customHeight="1">
      <c r="A40" s="614">
        <v>20</v>
      </c>
      <c r="B40" s="603" t="str">
        <f>VLOOKUP(A40,'пр.взв.'!B10:H137,2,FALSE)</f>
        <v>АЛДУШИН Александр Игоревич</v>
      </c>
      <c r="C40" s="603" t="str">
        <f>VLOOKUP(A40,'пр.взв.'!B10:H137,3,FALSE)</f>
        <v>04.10.93, МС</v>
      </c>
      <c r="D40" s="603" t="str">
        <f>VLOOKUP(A40,'пр.взв.'!B10:H137,4,FALSE)</f>
        <v>УФО</v>
      </c>
      <c r="E40" s="4"/>
      <c r="F40" s="5"/>
      <c r="G40" s="1"/>
      <c r="H40" s="35"/>
    </row>
    <row r="41" spans="1:8" ht="12" customHeight="1">
      <c r="A41" s="601"/>
      <c r="B41" s="604"/>
      <c r="C41" s="604"/>
      <c r="D41" s="604"/>
      <c r="E41" s="9"/>
      <c r="F41" s="6"/>
      <c r="G41" s="1"/>
      <c r="H41" s="35"/>
    </row>
    <row r="42" spans="1:8" ht="12" customHeight="1">
      <c r="A42" s="601">
        <v>52</v>
      </c>
      <c r="B42" s="612" t="e">
        <f>VLOOKUP(A42,'пр.взв.'!B12:H139,2,FALSE)</f>
        <v>#N/A</v>
      </c>
      <c r="C42" s="612" t="e">
        <f>VLOOKUP(A42,'пр.взв.'!B12:H139,3,FALSE)</f>
        <v>#N/A</v>
      </c>
      <c r="D42" s="612" t="e">
        <f>VLOOKUP(A42,'пр.взв.'!B12:H139,4,FALSE)</f>
        <v>#N/A</v>
      </c>
      <c r="E42" s="2"/>
      <c r="F42" s="6"/>
      <c r="G42" s="1"/>
      <c r="H42" s="35"/>
    </row>
    <row r="43" spans="1:8" ht="12" customHeight="1" thickBot="1">
      <c r="A43" s="602"/>
      <c r="B43" s="613"/>
      <c r="C43" s="613"/>
      <c r="D43" s="613"/>
      <c r="E43" s="1"/>
      <c r="F43" s="6"/>
      <c r="G43" s="8"/>
      <c r="H43" s="35"/>
    </row>
    <row r="44" spans="1:8" ht="12" customHeight="1">
      <c r="A44" s="611">
        <v>12</v>
      </c>
      <c r="B44" s="603" t="str">
        <f>VLOOKUP(A44,'пр.взв.'!B14:H141,2,FALSE)</f>
        <v>АБУЛАДЗЕ Паата Венорович</v>
      </c>
      <c r="C44" s="603" t="str">
        <f>VLOOKUP(A44,'пр.взв.'!B14:H141,3,FALSE)</f>
        <v>15.06.91, КМС</v>
      </c>
      <c r="D44" s="603" t="str">
        <f>VLOOKUP(A44,'пр.взв.'!B14:H141,4,FALSE)</f>
        <v>ЮФО</v>
      </c>
      <c r="E44" s="1"/>
      <c r="F44" s="6"/>
      <c r="G44" s="5"/>
      <c r="H44" s="35"/>
    </row>
    <row r="45" spans="1:8" ht="12" customHeight="1">
      <c r="A45" s="601"/>
      <c r="B45" s="604"/>
      <c r="C45" s="604"/>
      <c r="D45" s="604"/>
      <c r="E45" s="7"/>
      <c r="F45" s="6"/>
      <c r="G45" s="6"/>
      <c r="H45" s="35"/>
    </row>
    <row r="46" spans="1:8" ht="12" customHeight="1">
      <c r="A46" s="601">
        <v>44</v>
      </c>
      <c r="B46" s="612" t="e">
        <f>VLOOKUP(A46,'пр.взв.'!B16:H143,2,FALSE)</f>
        <v>#N/A</v>
      </c>
      <c r="C46" s="612" t="e">
        <f>VLOOKUP(A46,'пр.взв.'!B16:H143,3,FALSE)</f>
        <v>#N/A</v>
      </c>
      <c r="D46" s="612" t="e">
        <f>VLOOKUP(A46,'пр.взв.'!B16:H143,4,FALSE)</f>
        <v>#N/A</v>
      </c>
      <c r="E46" s="3"/>
      <c r="F46" s="6"/>
      <c r="G46" s="6"/>
      <c r="H46" s="35"/>
    </row>
    <row r="47" spans="1:8" ht="12" customHeight="1" thickBot="1">
      <c r="A47" s="602"/>
      <c r="B47" s="613"/>
      <c r="C47" s="613"/>
      <c r="D47" s="613"/>
      <c r="E47" s="4"/>
      <c r="F47" s="10"/>
      <c r="G47" s="6"/>
      <c r="H47" s="35"/>
    </row>
    <row r="48" spans="1:8" ht="12" customHeight="1">
      <c r="A48" s="611">
        <v>28</v>
      </c>
      <c r="B48" s="603" t="str">
        <f>VLOOKUP(A48,'пр.взв.'!B18:H145,2,FALSE)</f>
        <v>БОБИКОВ Роман Николаевич</v>
      </c>
      <c r="C48" s="603" t="str">
        <f>VLOOKUP(A48,'пр.взв.'!B18:H145,3,FALSE)</f>
        <v>08.12.89, МС</v>
      </c>
      <c r="D48" s="603" t="str">
        <f>VLOOKUP(A48,'пр.взв.'!B18:H145,4,FALSE)</f>
        <v>ЦФО</v>
      </c>
      <c r="E48" s="4"/>
      <c r="F48" s="1"/>
      <c r="G48" s="6"/>
      <c r="H48" s="35"/>
    </row>
    <row r="49" spans="1:8" ht="12" customHeight="1">
      <c r="A49" s="601"/>
      <c r="B49" s="604"/>
      <c r="C49" s="604"/>
      <c r="D49" s="604"/>
      <c r="E49" s="9"/>
      <c r="F49" s="1"/>
      <c r="G49" s="6"/>
      <c r="H49" s="35"/>
    </row>
    <row r="50" spans="1:8" ht="12" customHeight="1">
      <c r="A50" s="601">
        <v>60</v>
      </c>
      <c r="B50" s="612" t="e">
        <f>VLOOKUP(A50,'пр.взв.'!B20:H147,2,FALSE)</f>
        <v>#N/A</v>
      </c>
      <c r="C50" s="612" t="e">
        <f>VLOOKUP(A50,'пр.взв.'!B20:H147,3,FALSE)</f>
        <v>#N/A</v>
      </c>
      <c r="D50" s="612" t="e">
        <f>VLOOKUP(A50,'пр.взв.'!B20:H147,4,FALSE)</f>
        <v>#N/A</v>
      </c>
      <c r="E50" s="2"/>
      <c r="F50" s="1"/>
      <c r="G50" s="6"/>
      <c r="H50" s="35"/>
    </row>
    <row r="51" spans="1:8" ht="12" customHeight="1" thickBot="1">
      <c r="A51" s="602"/>
      <c r="B51" s="613"/>
      <c r="C51" s="613"/>
      <c r="D51" s="613"/>
      <c r="E51" s="1"/>
      <c r="F51" s="1"/>
      <c r="G51" s="6"/>
      <c r="H51" s="35"/>
    </row>
    <row r="52" spans="1:8" ht="12" customHeight="1">
      <c r="A52" s="611">
        <v>8</v>
      </c>
      <c r="B52" s="603" t="str">
        <f>VLOOKUP(A52,'пр.взв.'!B6:H133,2,FALSE)</f>
        <v>ТАРАСЕНКО Владимир Владимирович</v>
      </c>
      <c r="C52" s="603" t="str">
        <f>VLOOKUP(A52,'пр.взв.'!B6:H133,3,FALSE)</f>
        <v>25.01.91, МС</v>
      </c>
      <c r="D52" s="603" t="str">
        <f>VLOOKUP(A52,'пр.взв.'!B6:H133,4,FALSE)</f>
        <v>СКФО</v>
      </c>
      <c r="E52" s="1"/>
      <c r="F52" s="1"/>
      <c r="G52" s="6"/>
      <c r="H52" s="35"/>
    </row>
    <row r="53" spans="1:8" ht="12" customHeight="1">
      <c r="A53" s="601"/>
      <c r="B53" s="604"/>
      <c r="C53" s="604"/>
      <c r="D53" s="604"/>
      <c r="E53" s="7"/>
      <c r="F53" s="1"/>
      <c r="G53" s="6"/>
      <c r="H53" s="37"/>
    </row>
    <row r="54" spans="1:7" ht="12" customHeight="1">
      <c r="A54" s="601">
        <v>40</v>
      </c>
      <c r="B54" s="612" t="e">
        <f>VLOOKUP(A54,'пр.взв.'!B24:H151,2,FALSE)</f>
        <v>#N/A</v>
      </c>
      <c r="C54" s="612" t="e">
        <f>VLOOKUP(A54,'пр.взв.'!B24:H151,3,FALSE)</f>
        <v>#N/A</v>
      </c>
      <c r="D54" s="612" t="e">
        <f>VLOOKUP(A54,'пр.взв.'!B24:H151,4,FALSE)</f>
        <v>#N/A</v>
      </c>
      <c r="E54" s="3"/>
      <c r="F54" s="1"/>
      <c r="G54" s="6"/>
    </row>
    <row r="55" spans="1:7" ht="12" customHeight="1" thickBot="1">
      <c r="A55" s="602"/>
      <c r="B55" s="613"/>
      <c r="C55" s="613"/>
      <c r="D55" s="613"/>
      <c r="E55" s="4"/>
      <c r="F55" s="8"/>
      <c r="G55" s="6"/>
    </row>
    <row r="56" spans="1:7" ht="12" customHeight="1">
      <c r="A56" s="611">
        <v>24</v>
      </c>
      <c r="B56" s="603" t="str">
        <f>VLOOKUP(A56,'пр.взв.'!B26:H153,2,FALSE)</f>
        <v>СТАРКОВ Михаил Александрович</v>
      </c>
      <c r="C56" s="603" t="str">
        <f>VLOOKUP(A56,'пр.взв.'!B26:H153,3,FALSE)</f>
        <v>13.07.77, МСМК</v>
      </c>
      <c r="D56" s="603" t="str">
        <f>VLOOKUP(A56,'пр.взв.'!B26:H153,4,FALSE)</f>
        <v>УФО</v>
      </c>
      <c r="E56" s="4"/>
      <c r="F56" s="5"/>
      <c r="G56" s="6"/>
    </row>
    <row r="57" spans="1:7" ht="12" customHeight="1">
      <c r="A57" s="601"/>
      <c r="B57" s="604"/>
      <c r="C57" s="604"/>
      <c r="D57" s="604"/>
      <c r="E57" s="9"/>
      <c r="F57" s="6"/>
      <c r="G57" s="6"/>
    </row>
    <row r="58" spans="1:7" ht="12" customHeight="1">
      <c r="A58" s="601">
        <v>56</v>
      </c>
      <c r="B58" s="612" t="e">
        <f>VLOOKUP(A58,'пр.взв.'!B28:H155,2,FALSE)</f>
        <v>#N/A</v>
      </c>
      <c r="C58" s="612" t="e">
        <f>VLOOKUP(A58,'пр.взв.'!B28:H155,3,FALSE)</f>
        <v>#N/A</v>
      </c>
      <c r="D58" s="612" t="e">
        <f>VLOOKUP(A58,'пр.взв.'!B28:H155,4,FALSE)</f>
        <v>#N/A</v>
      </c>
      <c r="E58" s="2"/>
      <c r="F58" s="6"/>
      <c r="G58" s="6"/>
    </row>
    <row r="59" spans="1:7" ht="12" customHeight="1" thickBot="1">
      <c r="A59" s="602"/>
      <c r="B59" s="613"/>
      <c r="C59" s="613"/>
      <c r="D59" s="613"/>
      <c r="E59" s="1"/>
      <c r="F59" s="6"/>
      <c r="G59" s="6"/>
    </row>
    <row r="60" spans="1:7" ht="12" customHeight="1">
      <c r="A60" s="611">
        <v>16</v>
      </c>
      <c r="B60" s="603" t="str">
        <f>VLOOKUP(A60,'пр.взв.'!B30:H157,2,FALSE)</f>
        <v>ГОНЧАРУК Роман Михайлович</v>
      </c>
      <c r="C60" s="603" t="str">
        <f>VLOOKUP(A60,'пр.взв.'!B30:H157,3,FALSE)</f>
        <v>24.06.93, МС</v>
      </c>
      <c r="D60" s="603" t="str">
        <f>VLOOKUP(A60,'пр.взв.'!B30:H157,4,FALSE)</f>
        <v>МОС</v>
      </c>
      <c r="E60" s="1"/>
      <c r="F60" s="6"/>
      <c r="G60" s="10"/>
    </row>
    <row r="61" spans="1:7" ht="12" customHeight="1">
      <c r="A61" s="601"/>
      <c r="B61" s="604"/>
      <c r="C61" s="604"/>
      <c r="D61" s="604"/>
      <c r="E61" s="7"/>
      <c r="F61" s="6"/>
      <c r="G61" s="1"/>
    </row>
    <row r="62" spans="1:7" ht="12" customHeight="1">
      <c r="A62" s="601">
        <v>48</v>
      </c>
      <c r="B62" s="612" t="e">
        <f>VLOOKUP(A62,'пр.взв.'!B32:H159,2,FALSE)</f>
        <v>#N/A</v>
      </c>
      <c r="C62" s="612" t="e">
        <f>VLOOKUP(A62,'пр.взв.'!B32:H159,3,FALSE)</f>
        <v>#N/A</v>
      </c>
      <c r="D62" s="612" t="e">
        <f>VLOOKUP(A62,'пр.взв.'!B32:H159,4,FALSE)</f>
        <v>#N/A</v>
      </c>
      <c r="E62" s="3"/>
      <c r="F62" s="6"/>
      <c r="G62" s="1"/>
    </row>
    <row r="63" spans="1:7" ht="12" customHeight="1" thickBot="1">
      <c r="A63" s="602"/>
      <c r="B63" s="613"/>
      <c r="C63" s="613"/>
      <c r="D63" s="613"/>
      <c r="E63" s="4"/>
      <c r="F63" s="10"/>
      <c r="G63" s="1"/>
    </row>
    <row r="64" spans="1:7" ht="12" customHeight="1">
      <c r="A64" s="611">
        <v>32</v>
      </c>
      <c r="B64" s="603" t="str">
        <f>VLOOKUP(A64,'пр.взв.'!B34:H161,2,FALSE)</f>
        <v>ТУНАКОВ Александр Сергеевич</v>
      </c>
      <c r="C64" s="603" t="str">
        <f>VLOOKUP(A64,'пр.взв.'!B34:H161,3,FALSE)</f>
        <v>25.08.94, МС</v>
      </c>
      <c r="D64" s="603" t="str">
        <f>VLOOKUP(A64,'пр.взв.'!B34:H161,4,FALSE)</f>
        <v>ПФО</v>
      </c>
      <c r="E64" s="4"/>
      <c r="F64" s="1"/>
      <c r="G64" s="1"/>
    </row>
    <row r="65" spans="1:7" ht="12" customHeight="1">
      <c r="A65" s="601"/>
      <c r="B65" s="604"/>
      <c r="C65" s="604"/>
      <c r="D65" s="604"/>
      <c r="E65" s="9"/>
      <c r="F65" s="1"/>
      <c r="G65" s="1"/>
    </row>
    <row r="66" spans="1:7" ht="12" customHeight="1">
      <c r="A66" s="601">
        <v>64</v>
      </c>
      <c r="B66" s="612" t="e">
        <f>VLOOKUP(A66,'пр.взв.'!B36:H163,2,FALSE)</f>
        <v>#N/A</v>
      </c>
      <c r="C66" s="612" t="e">
        <f>VLOOKUP(A66,'пр.взв.'!B36:H163,3,FALSE)</f>
        <v>#N/A</v>
      </c>
      <c r="D66" s="612" t="e">
        <f>VLOOKUP(A66,'пр.взв.'!B36:H163,4,FALSE)</f>
        <v>#N/A</v>
      </c>
      <c r="E66" s="2"/>
      <c r="F66" s="1"/>
      <c r="G66" s="1"/>
    </row>
    <row r="67" spans="1:4" ht="12" customHeight="1" thickBot="1">
      <c r="A67" s="602"/>
      <c r="B67" s="613"/>
      <c r="C67" s="613"/>
      <c r="D67" s="613"/>
    </row>
    <row r="68" spans="2:4" ht="12" customHeight="1">
      <c r="B68" s="49"/>
      <c r="C68" s="49"/>
      <c r="D68" s="49"/>
    </row>
    <row r="69" spans="2:4" ht="27.75" customHeight="1">
      <c r="B69" s="49"/>
      <c r="C69" s="49"/>
      <c r="D69" s="49"/>
    </row>
    <row r="70" spans="1:8" ht="19.5" customHeight="1">
      <c r="A70" s="30" t="s">
        <v>21</v>
      </c>
      <c r="B70" s="56"/>
      <c r="C70" s="56"/>
      <c r="D70" s="56"/>
      <c r="E70" s="605">
        <f>HYPERLINK('пр.взв.'!G1)</f>
      </c>
      <c r="F70" s="56"/>
      <c r="G70" s="30" t="s">
        <v>22</v>
      </c>
      <c r="H70" s="56"/>
    </row>
    <row r="71" spans="1:8" ht="12.75">
      <c r="A71" s="56"/>
      <c r="B71" s="56"/>
      <c r="C71" s="56"/>
      <c r="D71" s="56"/>
      <c r="E71" s="606"/>
      <c r="F71" s="56"/>
      <c r="G71" s="56"/>
      <c r="H71" s="56"/>
    </row>
    <row r="72" spans="1:8" ht="19.5" customHeight="1">
      <c r="A72" s="56"/>
      <c r="B72" s="56"/>
      <c r="C72" s="56"/>
      <c r="D72" s="56"/>
      <c r="E72" s="56"/>
      <c r="F72" s="56"/>
      <c r="G72" s="56"/>
      <c r="H72" s="56"/>
    </row>
    <row r="73" spans="1:9" ht="19.5" customHeight="1">
      <c r="A73" s="16"/>
      <c r="B73" s="18"/>
      <c r="C73" s="13"/>
      <c r="D73" s="17"/>
      <c r="E73" s="17"/>
      <c r="G73" s="59"/>
      <c r="H73" s="59"/>
      <c r="I73" s="12"/>
    </row>
    <row r="74" spans="1:9" ht="19.5" customHeight="1">
      <c r="A74" s="12"/>
      <c r="B74" s="19"/>
      <c r="G74" s="59"/>
      <c r="H74" s="59"/>
      <c r="I74" s="12"/>
    </row>
    <row r="75" spans="1:9" ht="19.5" customHeight="1">
      <c r="A75" s="12"/>
      <c r="B75" s="44"/>
      <c r="C75" s="43"/>
      <c r="D75" s="21"/>
      <c r="E75" s="17"/>
      <c r="G75" s="34"/>
      <c r="H75" s="59"/>
      <c r="I75" s="12"/>
    </row>
    <row r="76" spans="1:9" ht="19.5" customHeight="1">
      <c r="A76" s="11"/>
      <c r="B76" s="15"/>
      <c r="C76" s="20"/>
      <c r="D76" s="60"/>
      <c r="E76" s="17"/>
      <c r="G76" s="34"/>
      <c r="H76" s="59"/>
      <c r="I76" s="12"/>
    </row>
    <row r="77" spans="1:9" ht="19.5" customHeight="1">
      <c r="A77" s="12"/>
      <c r="B77" s="20"/>
      <c r="C77" s="20"/>
      <c r="D77" s="35"/>
      <c r="E77" s="18"/>
      <c r="F77" s="20"/>
      <c r="H77" s="59"/>
      <c r="I77" s="12"/>
    </row>
    <row r="78" spans="1:9" ht="19.5" customHeight="1">
      <c r="A78" s="12"/>
      <c r="B78" s="20"/>
      <c r="C78" s="14"/>
      <c r="D78" s="37"/>
      <c r="E78" s="19"/>
      <c r="F78" s="61"/>
      <c r="H78" s="59"/>
      <c r="I78" s="12"/>
    </row>
    <row r="79" spans="2:9" ht="19.5" customHeight="1">
      <c r="B79" s="62"/>
      <c r="C79" s="62"/>
      <c r="D79" s="12"/>
      <c r="E79" s="19"/>
      <c r="F79" s="18"/>
      <c r="H79" s="59"/>
      <c r="I79" s="12"/>
    </row>
    <row r="80" spans="3:9" ht="19.5" customHeight="1">
      <c r="C80" s="17"/>
      <c r="D80" s="12"/>
      <c r="E80" s="15"/>
      <c r="F80" s="19"/>
      <c r="H80" s="59"/>
      <c r="I80" s="12"/>
    </row>
    <row r="81" spans="1:9" ht="19.5" customHeight="1">
      <c r="A81" s="16"/>
      <c r="B81" s="18"/>
      <c r="D81" s="12"/>
      <c r="F81" s="35"/>
      <c r="H81" s="59"/>
      <c r="I81" s="12"/>
    </row>
    <row r="82" spans="1:9" ht="19.5" customHeight="1">
      <c r="A82" s="12"/>
      <c r="B82" s="19"/>
      <c r="C82" s="13"/>
      <c r="D82" s="12"/>
      <c r="E82" s="17"/>
      <c r="F82" s="19"/>
      <c r="G82" s="12"/>
      <c r="H82" s="59"/>
      <c r="I82" s="12"/>
    </row>
    <row r="83" spans="1:9" ht="19.5" customHeight="1">
      <c r="A83" s="12"/>
      <c r="B83" s="44"/>
      <c r="C83" s="43"/>
      <c r="D83" s="36"/>
      <c r="E83" s="17"/>
      <c r="F83" s="19"/>
      <c r="G83" s="36"/>
      <c r="H83" s="59"/>
      <c r="I83" s="12"/>
    </row>
    <row r="84" spans="1:9" ht="19.5" customHeight="1">
      <c r="A84" s="11"/>
      <c r="B84" s="15"/>
      <c r="C84" s="20"/>
      <c r="D84" s="35"/>
      <c r="E84" s="13"/>
      <c r="F84" s="19"/>
      <c r="G84" s="35"/>
      <c r="H84" s="59"/>
      <c r="I84" s="12"/>
    </row>
    <row r="85" spans="1:9" ht="19.5" customHeight="1">
      <c r="A85" s="12"/>
      <c r="B85" s="20"/>
      <c r="C85" s="20"/>
      <c r="D85" s="35"/>
      <c r="E85" s="18"/>
      <c r="F85" s="19"/>
      <c r="G85" s="35"/>
      <c r="H85" s="59"/>
      <c r="I85" s="12"/>
    </row>
    <row r="86" spans="1:9" ht="19.5" customHeight="1">
      <c r="A86" s="12"/>
      <c r="B86" s="20"/>
      <c r="C86" s="14"/>
      <c r="D86" s="37"/>
      <c r="E86" s="19"/>
      <c r="F86" s="63"/>
      <c r="G86" s="35"/>
      <c r="H86" s="59"/>
      <c r="I86" s="12"/>
    </row>
    <row r="87" spans="2:9" ht="19.5" customHeight="1">
      <c r="B87" s="62"/>
      <c r="C87" s="62"/>
      <c r="E87" s="19"/>
      <c r="F87" s="22"/>
      <c r="G87" s="35"/>
      <c r="H87" s="59"/>
      <c r="I87" s="12"/>
    </row>
    <row r="88" spans="3:9" ht="19.5" customHeight="1">
      <c r="C88" s="17"/>
      <c r="E88" s="15"/>
      <c r="F88" s="20"/>
      <c r="G88" s="37"/>
      <c r="H88" s="59"/>
      <c r="I88" s="12"/>
    </row>
    <row r="89" spans="1:9" ht="19.5" customHeight="1">
      <c r="A89" s="59"/>
      <c r="B89" s="59"/>
      <c r="C89" s="59"/>
      <c r="D89" s="59"/>
      <c r="E89" s="59"/>
      <c r="F89" s="59"/>
      <c r="G89" s="34"/>
      <c r="H89" s="59"/>
      <c r="I89" s="12"/>
    </row>
    <row r="90" spans="1:9" ht="19.5" customHeight="1">
      <c r="A90" s="59"/>
      <c r="B90" s="20"/>
      <c r="C90" s="47"/>
      <c r="D90" s="59"/>
      <c r="E90" s="20"/>
      <c r="F90" s="22"/>
      <c r="G90" s="34"/>
      <c r="H90" s="59"/>
      <c r="I90" s="12"/>
    </row>
    <row r="91" spans="1:9" ht="19.5" customHeight="1">
      <c r="A91" s="59"/>
      <c r="B91" s="20"/>
      <c r="C91" s="22"/>
      <c r="D91" s="47"/>
      <c r="E91" s="47"/>
      <c r="F91" s="20"/>
      <c r="G91" s="59"/>
      <c r="H91" s="59"/>
      <c r="I91" s="12"/>
    </row>
    <row r="92" spans="1:9" ht="19.5" customHeight="1">
      <c r="A92" s="59"/>
      <c r="B92" s="59"/>
      <c r="C92" s="20"/>
      <c r="D92" s="59"/>
      <c r="E92" s="22"/>
      <c r="F92" s="20"/>
      <c r="G92" s="59"/>
      <c r="H92" s="59"/>
      <c r="I92" s="12"/>
    </row>
    <row r="93" spans="1:9" ht="19.5" customHeight="1">
      <c r="A93" s="59"/>
      <c r="B93" s="59"/>
      <c r="C93" s="22"/>
      <c r="D93" s="59"/>
      <c r="E93" s="20"/>
      <c r="F93" s="47"/>
      <c r="G93" s="34"/>
      <c r="H93" s="59"/>
      <c r="I93" s="12"/>
    </row>
    <row r="94" spans="1:9" ht="19.5" customHeight="1">
      <c r="A94" s="59"/>
      <c r="B94" s="20"/>
      <c r="C94" s="22"/>
      <c r="D94" s="47"/>
      <c r="E94" s="47"/>
      <c r="F94" s="20"/>
      <c r="G94" s="34"/>
      <c r="H94" s="59"/>
      <c r="I94" s="12"/>
    </row>
    <row r="95" spans="1:9" ht="19.5" customHeight="1">
      <c r="A95" s="59"/>
      <c r="B95" s="59"/>
      <c r="C95" s="20"/>
      <c r="D95" s="59"/>
      <c r="E95" s="22"/>
      <c r="F95" s="20"/>
      <c r="G95" s="34"/>
      <c r="H95" s="59"/>
      <c r="I95" s="12"/>
    </row>
    <row r="96" spans="1:9" ht="19.5" customHeight="1">
      <c r="A96" s="59"/>
      <c r="B96" s="59"/>
      <c r="C96" s="22"/>
      <c r="D96" s="59"/>
      <c r="E96" s="20"/>
      <c r="F96" s="47"/>
      <c r="G96" s="34"/>
      <c r="H96" s="59"/>
      <c r="I96" s="12"/>
    </row>
    <row r="97" spans="1:9" ht="19.5" customHeight="1">
      <c r="A97" s="12"/>
      <c r="B97" s="12"/>
      <c r="C97" s="12"/>
      <c r="D97" s="12"/>
      <c r="E97" s="12"/>
      <c r="F97" s="12"/>
      <c r="G97" s="12"/>
      <c r="H97" s="12"/>
      <c r="I97" s="12"/>
    </row>
    <row r="98" spans="1:9" ht="19.5" customHeight="1">
      <c r="A98" s="12"/>
      <c r="B98" s="12"/>
      <c r="C98" s="12"/>
      <c r="D98" s="12"/>
      <c r="E98" s="12"/>
      <c r="F98" s="12"/>
      <c r="G98" s="12"/>
      <c r="H98" s="12"/>
      <c r="I98" s="12"/>
    </row>
    <row r="99" spans="1:9" ht="19.5" customHeight="1">
      <c r="A99" s="12"/>
      <c r="B99" s="12"/>
      <c r="C99" s="12"/>
      <c r="D99" s="12"/>
      <c r="E99" s="12"/>
      <c r="F99" s="12"/>
      <c r="G99" s="12"/>
      <c r="H99" s="12"/>
      <c r="I99" s="12"/>
    </row>
    <row r="100" spans="1:9" ht="19.5" customHeight="1">
      <c r="A100" s="12"/>
      <c r="B100" s="12"/>
      <c r="C100" s="12"/>
      <c r="D100" s="12"/>
      <c r="E100" s="12"/>
      <c r="F100" s="12"/>
      <c r="G100" s="12"/>
      <c r="H100" s="12"/>
      <c r="I100" s="12"/>
    </row>
    <row r="101" ht="19.5" customHeight="1">
      <c r="I101" s="12"/>
    </row>
    <row r="102" ht="19.5" customHeight="1">
      <c r="I102" s="12"/>
    </row>
    <row r="103" ht="19.5" customHeight="1">
      <c r="I103" s="12"/>
    </row>
    <row r="104" ht="19.5" customHeight="1">
      <c r="I104" s="12"/>
    </row>
    <row r="105" ht="19.5" customHeight="1">
      <c r="I105" s="12"/>
    </row>
    <row r="106" ht="19.5" customHeight="1">
      <c r="I106" s="12"/>
    </row>
    <row r="107" ht="19.5" customHeight="1">
      <c r="I107" s="12"/>
    </row>
    <row r="108" ht="19.5" customHeight="1"/>
    <row r="109" ht="19.5" customHeight="1"/>
    <row r="110" ht="19.5" customHeight="1"/>
  </sheetData>
  <sheetProtection/>
  <mergeCells count="133">
    <mergeCell ref="A66:A67"/>
    <mergeCell ref="B66:B67"/>
    <mergeCell ref="C66:C67"/>
    <mergeCell ref="D66:D67"/>
    <mergeCell ref="A64:A65"/>
    <mergeCell ref="B64:B65"/>
    <mergeCell ref="C64:C65"/>
    <mergeCell ref="D64:D65"/>
    <mergeCell ref="A62:A63"/>
    <mergeCell ref="B62:B63"/>
    <mergeCell ref="C62:C63"/>
    <mergeCell ref="D62:D63"/>
    <mergeCell ref="A60:A61"/>
    <mergeCell ref="B60:B61"/>
    <mergeCell ref="C60:C61"/>
    <mergeCell ref="D60:D61"/>
    <mergeCell ref="A58:A59"/>
    <mergeCell ref="B58:B59"/>
    <mergeCell ref="C58:C59"/>
    <mergeCell ref="D58:D59"/>
    <mergeCell ref="A56:A57"/>
    <mergeCell ref="B56:B57"/>
    <mergeCell ref="C56:C57"/>
    <mergeCell ref="D56:D57"/>
    <mergeCell ref="A54:A55"/>
    <mergeCell ref="B54:B55"/>
    <mergeCell ref="C54:C55"/>
    <mergeCell ref="D54:D55"/>
    <mergeCell ref="A52:A53"/>
    <mergeCell ref="B52:B53"/>
    <mergeCell ref="C52:C53"/>
    <mergeCell ref="D52:D53"/>
    <mergeCell ref="A50:A51"/>
    <mergeCell ref="B50:B51"/>
    <mergeCell ref="C50:C51"/>
    <mergeCell ref="D50:D51"/>
    <mergeCell ref="A48:A49"/>
    <mergeCell ref="B48:B49"/>
    <mergeCell ref="C48:C49"/>
    <mergeCell ref="D48:D49"/>
    <mergeCell ref="A46:A47"/>
    <mergeCell ref="B46:B47"/>
    <mergeCell ref="C46:C47"/>
    <mergeCell ref="D46:D47"/>
    <mergeCell ref="A44:A45"/>
    <mergeCell ref="B44:B45"/>
    <mergeCell ref="C44:C45"/>
    <mergeCell ref="D44:D45"/>
    <mergeCell ref="A42:A43"/>
    <mergeCell ref="B42:B43"/>
    <mergeCell ref="C42:C43"/>
    <mergeCell ref="D42:D43"/>
    <mergeCell ref="A40:A41"/>
    <mergeCell ref="B40:B41"/>
    <mergeCell ref="C40:C41"/>
    <mergeCell ref="D40:D41"/>
    <mergeCell ref="A38:A39"/>
    <mergeCell ref="B38:B39"/>
    <mergeCell ref="C38:C39"/>
    <mergeCell ref="D38:D39"/>
    <mergeCell ref="A36:A37"/>
    <mergeCell ref="B36:B37"/>
    <mergeCell ref="C36:C37"/>
    <mergeCell ref="D36:D37"/>
    <mergeCell ref="A33:A34"/>
    <mergeCell ref="B33:B34"/>
    <mergeCell ref="C33:C34"/>
    <mergeCell ref="D33:D34"/>
    <mergeCell ref="A31:A32"/>
    <mergeCell ref="B31:B32"/>
    <mergeCell ref="C31:C32"/>
    <mergeCell ref="D31:D32"/>
    <mergeCell ref="A29:A30"/>
    <mergeCell ref="B29:B30"/>
    <mergeCell ref="C29:C30"/>
    <mergeCell ref="D29:D30"/>
    <mergeCell ref="A27:A28"/>
    <mergeCell ref="B27:B28"/>
    <mergeCell ref="C27:C28"/>
    <mergeCell ref="D27:D28"/>
    <mergeCell ref="A25:A26"/>
    <mergeCell ref="B25:B26"/>
    <mergeCell ref="C25:C26"/>
    <mergeCell ref="D25:D26"/>
    <mergeCell ref="A23:A24"/>
    <mergeCell ref="B23:B24"/>
    <mergeCell ref="C23:C24"/>
    <mergeCell ref="D23:D24"/>
    <mergeCell ref="A21:A22"/>
    <mergeCell ref="B21:B22"/>
    <mergeCell ref="C21:C22"/>
    <mergeCell ref="D21:D22"/>
    <mergeCell ref="A19:A20"/>
    <mergeCell ref="B19:B20"/>
    <mergeCell ref="C19:C20"/>
    <mergeCell ref="D19:D20"/>
    <mergeCell ref="A17:A18"/>
    <mergeCell ref="B17:B18"/>
    <mergeCell ref="C17:C18"/>
    <mergeCell ref="D17:D18"/>
    <mergeCell ref="A15:A16"/>
    <mergeCell ref="B15:B16"/>
    <mergeCell ref="C15:C16"/>
    <mergeCell ref="D15:D16"/>
    <mergeCell ref="C7:C8"/>
    <mergeCell ref="A13:A14"/>
    <mergeCell ref="B13:B14"/>
    <mergeCell ref="C13:C14"/>
    <mergeCell ref="D13:D14"/>
    <mergeCell ref="A11:A12"/>
    <mergeCell ref="B11:B12"/>
    <mergeCell ref="C11:C12"/>
    <mergeCell ref="D11:D12"/>
    <mergeCell ref="H2:H3"/>
    <mergeCell ref="A9:A10"/>
    <mergeCell ref="B9:B10"/>
    <mergeCell ref="C9:C10"/>
    <mergeCell ref="D9:D10"/>
    <mergeCell ref="B5:B6"/>
    <mergeCell ref="C5:C6"/>
    <mergeCell ref="D5:D6"/>
    <mergeCell ref="A7:A8"/>
    <mergeCell ref="B7:B8"/>
    <mergeCell ref="A5:A6"/>
    <mergeCell ref="D7:D8"/>
    <mergeCell ref="E70:E71"/>
    <mergeCell ref="A1:H1"/>
    <mergeCell ref="A2:G2"/>
    <mergeCell ref="H4:H5"/>
    <mergeCell ref="A3:A4"/>
    <mergeCell ref="B3:B4"/>
    <mergeCell ref="C3:C4"/>
    <mergeCell ref="D3:D4"/>
  </mergeCells>
  <printOptions horizontalCentered="1"/>
  <pageMargins left="0" right="0" top="0" bottom="0" header="0" footer="0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4"/>
  </sheetPr>
  <dimension ref="A1:T104"/>
  <sheetViews>
    <sheetView zoomScalePageLayoutView="0" workbookViewId="0" topLeftCell="A1">
      <selection activeCell="A2" sqref="A2:G2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14.57421875" style="0" customWidth="1"/>
    <col min="5" max="7" width="14.7109375" style="0" customWidth="1"/>
    <col min="8" max="8" width="13.4218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20" ht="16.5" customHeight="1">
      <c r="A1" s="607" t="str">
        <f>'[2]реквизиты'!$A$2</f>
        <v>Чемпионат России по  САМБО среди мужчин.</v>
      </c>
      <c r="B1" s="607"/>
      <c r="C1" s="607"/>
      <c r="D1" s="607"/>
      <c r="E1" s="607"/>
      <c r="F1" s="607"/>
      <c r="G1" s="607"/>
      <c r="H1" s="607"/>
      <c r="I1" s="46"/>
      <c r="J1" s="46"/>
      <c r="K1" s="46"/>
      <c r="O1" s="31"/>
      <c r="P1" s="31"/>
      <c r="Q1" s="31"/>
      <c r="R1" s="32"/>
      <c r="S1" s="12"/>
      <c r="T1" s="12"/>
    </row>
    <row r="2" spans="1:19" ht="12.75" customHeight="1" thickBot="1">
      <c r="A2" s="618"/>
      <c r="B2" s="619"/>
      <c r="C2" s="619"/>
      <c r="D2" s="619"/>
      <c r="E2" s="619"/>
      <c r="F2" s="619"/>
      <c r="G2" s="619"/>
      <c r="H2" s="610">
        <f>HYPERLINK('пр.взв.'!G4)</f>
      </c>
      <c r="O2" s="33"/>
      <c r="P2" s="33"/>
      <c r="Q2" s="33"/>
      <c r="R2" s="23"/>
      <c r="S2" s="23"/>
    </row>
    <row r="3" spans="1:8" ht="12" customHeight="1">
      <c r="A3" s="611">
        <v>1</v>
      </c>
      <c r="B3" s="615" t="str">
        <f>VLOOKUP(A3,'пр.взв.'!B6:C133,2,FALSE)</f>
        <v>ДЕМЕНКОВ Александр Михайлович</v>
      </c>
      <c r="C3" s="615" t="str">
        <f>VLOOKUP(A3,'пр.взв.'!B6:H133,3,FALSE)</f>
        <v>14.09.97, КМС</v>
      </c>
      <c r="D3" s="615" t="str">
        <f>VLOOKUP(A3,'пр.взв.'!B6:F133,4,FALSE)</f>
        <v>МОС</v>
      </c>
      <c r="E3" s="49"/>
      <c r="F3" s="49"/>
      <c r="G3" s="49"/>
      <c r="H3" s="610"/>
    </row>
    <row r="4" spans="1:8" ht="12" customHeight="1">
      <c r="A4" s="601"/>
      <c r="B4" s="616"/>
      <c r="C4" s="616"/>
      <c r="D4" s="616"/>
      <c r="E4" s="1"/>
      <c r="F4" s="1"/>
      <c r="G4" s="50"/>
      <c r="H4" s="50"/>
    </row>
    <row r="5" spans="1:8" ht="12" customHeight="1">
      <c r="A5" s="601">
        <v>33</v>
      </c>
      <c r="B5" s="604" t="str">
        <f>VLOOKUP(A5,'пр.взв.'!B8:C135,2,FALSE)</f>
        <v>ТАМБИЕВ Аслангери Артурович</v>
      </c>
      <c r="C5" s="604" t="str">
        <f>VLOOKUP(A5,'пр.взв.'!B8:H135,3,FALSE)</f>
        <v>11.07.92, КМС</v>
      </c>
      <c r="D5" s="604" t="str">
        <f>VLOOKUP(A5,'пр.взв.'!B8:F135,4,FALSE)</f>
        <v>СПБ</v>
      </c>
      <c r="E5" s="3"/>
      <c r="F5" s="1"/>
      <c r="G5" s="1"/>
      <c r="H5" s="610" t="s">
        <v>9</v>
      </c>
    </row>
    <row r="6" spans="1:8" ht="12" customHeight="1" thickBot="1">
      <c r="A6" s="602"/>
      <c r="B6" s="616"/>
      <c r="C6" s="616"/>
      <c r="D6" s="616"/>
      <c r="E6" s="4"/>
      <c r="F6" s="8"/>
      <c r="G6" s="1"/>
      <c r="H6" s="610"/>
    </row>
    <row r="7" spans="1:8" ht="12" customHeight="1">
      <c r="A7" s="611">
        <v>17</v>
      </c>
      <c r="B7" s="615" t="str">
        <f>VLOOKUP(A7,'пр.взв.'!B10:C137,2,FALSE)</f>
        <v>САРИБЕКЯН Павел Андреевич</v>
      </c>
      <c r="C7" s="615" t="str">
        <f>VLOOKUP(A7,'пр.взв.'!B10:H137,3,FALSE)</f>
        <v>13.07.92, МС</v>
      </c>
      <c r="D7" s="615" t="str">
        <f>VLOOKUP(A7,'пр.взв.'!B10:F137,4,FALSE)</f>
        <v>ЮФО</v>
      </c>
      <c r="E7" s="4"/>
      <c r="F7" s="5"/>
      <c r="G7" s="1"/>
      <c r="H7" s="50"/>
    </row>
    <row r="8" spans="1:8" ht="12" customHeight="1">
      <c r="A8" s="601"/>
      <c r="B8" s="616"/>
      <c r="C8" s="616"/>
      <c r="D8" s="616"/>
      <c r="E8" s="9"/>
      <c r="F8" s="6"/>
      <c r="G8" s="1"/>
      <c r="H8" s="50"/>
    </row>
    <row r="9" spans="1:8" ht="12" customHeight="1">
      <c r="A9" s="601">
        <v>49</v>
      </c>
      <c r="B9" s="604" t="e">
        <f>VLOOKUP(A9,'пр.взв.'!B12:C139,2,FALSE)</f>
        <v>#N/A</v>
      </c>
      <c r="C9" s="604" t="e">
        <f>VLOOKUP(A9,'пр.взв.'!B12:H139,3,FALSE)</f>
        <v>#N/A</v>
      </c>
      <c r="D9" s="604" t="e">
        <f>VLOOKUP(A9,'пр.взв.'!B12:F139,4,FALSE)</f>
        <v>#N/A</v>
      </c>
      <c r="E9" s="2"/>
      <c r="F9" s="6"/>
      <c r="G9" s="1"/>
      <c r="H9" s="50"/>
    </row>
    <row r="10" spans="1:8" ht="12" customHeight="1" thickBot="1">
      <c r="A10" s="602"/>
      <c r="B10" s="616"/>
      <c r="C10" s="616"/>
      <c r="D10" s="616"/>
      <c r="E10" s="1"/>
      <c r="F10" s="6"/>
      <c r="G10" s="8"/>
      <c r="H10" s="50"/>
    </row>
    <row r="11" spans="1:8" ht="12" customHeight="1">
      <c r="A11" s="611">
        <v>9</v>
      </c>
      <c r="B11" s="615" t="str">
        <f>VLOOKUP(A11,'пр.взв.'!B14:C141,2,FALSE)</f>
        <v>ДЬЯКОНОВ Иван Викторович</v>
      </c>
      <c r="C11" s="615" t="str">
        <f>VLOOKUP(A11,'пр.взв.'!B14:H141,3,FALSE)</f>
        <v>27.08.86 мс</v>
      </c>
      <c r="D11" s="615" t="str">
        <f>VLOOKUP(A11,'пр.взв.'!B14:F141,4,FALSE)</f>
        <v>СЗФО</v>
      </c>
      <c r="E11" s="1"/>
      <c r="F11" s="6"/>
      <c r="G11" s="5"/>
      <c r="H11" s="50"/>
    </row>
    <row r="12" spans="1:8" ht="12" customHeight="1">
      <c r="A12" s="601"/>
      <c r="B12" s="616"/>
      <c r="C12" s="616"/>
      <c r="D12" s="616"/>
      <c r="E12" s="7"/>
      <c r="F12" s="6"/>
      <c r="G12" s="6"/>
      <c r="H12" s="50"/>
    </row>
    <row r="13" spans="1:8" ht="12" customHeight="1">
      <c r="A13" s="601">
        <v>41</v>
      </c>
      <c r="B13" s="604" t="e">
        <f>VLOOKUP(A13,'пр.взв.'!B16:C143,2,FALSE)</f>
        <v>#N/A</v>
      </c>
      <c r="C13" s="604" t="e">
        <f>VLOOKUP(A13,'пр.взв.'!B16:H143,3,FALSE)</f>
        <v>#N/A</v>
      </c>
      <c r="D13" s="604" t="e">
        <f>VLOOKUP(A13,'пр.взв.'!B16:F143,4,FALSE)</f>
        <v>#N/A</v>
      </c>
      <c r="E13" s="3"/>
      <c r="F13" s="6"/>
      <c r="G13" s="6"/>
      <c r="H13" s="50"/>
    </row>
    <row r="14" spans="1:8" ht="12" customHeight="1" thickBot="1">
      <c r="A14" s="602"/>
      <c r="B14" s="616"/>
      <c r="C14" s="616"/>
      <c r="D14" s="616"/>
      <c r="E14" s="4"/>
      <c r="F14" s="10"/>
      <c r="G14" s="6"/>
      <c r="H14" s="50"/>
    </row>
    <row r="15" spans="1:8" ht="12" customHeight="1">
      <c r="A15" s="611">
        <v>25</v>
      </c>
      <c r="B15" s="615" t="str">
        <f>VLOOKUP(A15,'пр.взв.'!B18:C145,2,FALSE)</f>
        <v>ЧЕРНЫШОВ Антон Геннадьевич</v>
      </c>
      <c r="C15" s="615" t="str">
        <f>VLOOKUP(A15,'пр.взв.'!B18:H145,3,FALSE)</f>
        <v>15.11.92, МС</v>
      </c>
      <c r="D15" s="615" t="str">
        <f>VLOOKUP(A15,'пр.взв.'!B18:F145,4,FALSE)</f>
        <v>МОС</v>
      </c>
      <c r="E15" s="4"/>
      <c r="F15" s="1"/>
      <c r="G15" s="6"/>
      <c r="H15" s="50"/>
    </row>
    <row r="16" spans="1:8" ht="12" customHeight="1">
      <c r="A16" s="601"/>
      <c r="B16" s="616"/>
      <c r="C16" s="616"/>
      <c r="D16" s="616"/>
      <c r="E16" s="9"/>
      <c r="F16" s="1"/>
      <c r="G16" s="6"/>
      <c r="H16" s="50"/>
    </row>
    <row r="17" spans="1:8" ht="12" customHeight="1">
      <c r="A17" s="601">
        <v>57</v>
      </c>
      <c r="B17" s="604" t="e">
        <f>VLOOKUP(A17,'пр.взв.'!B20:C147,2,FALSE)</f>
        <v>#N/A</v>
      </c>
      <c r="C17" s="604" t="e">
        <f>VLOOKUP(A17,'пр.взв.'!B20:H147,3,FALSE)</f>
        <v>#N/A</v>
      </c>
      <c r="D17" s="604" t="e">
        <f>VLOOKUP(A17,'пр.взв.'!B20:F147,4,FALSE)</f>
        <v>#N/A</v>
      </c>
      <c r="E17" s="2"/>
      <c r="F17" s="1"/>
      <c r="G17" s="6"/>
      <c r="H17" s="50"/>
    </row>
    <row r="18" spans="1:8" ht="12" customHeight="1" thickBot="1">
      <c r="A18" s="602"/>
      <c r="B18" s="616"/>
      <c r="C18" s="616"/>
      <c r="D18" s="616"/>
      <c r="E18" s="1"/>
      <c r="F18" s="1"/>
      <c r="G18" s="6"/>
      <c r="H18" s="50"/>
    </row>
    <row r="19" spans="1:8" ht="12" customHeight="1">
      <c r="A19" s="611">
        <v>5</v>
      </c>
      <c r="B19" s="615" t="str">
        <f>VLOOKUP(A19,'пр.взв.'!B6:C133,2,FALSE)</f>
        <v>ГЕНИЯТОВ Глеб Эдуардович</v>
      </c>
      <c r="C19" s="615" t="str">
        <f>VLOOKUP(A19,'пр.взв.'!B6:H133,3,FALSE)</f>
        <v>29.04.85, МС</v>
      </c>
      <c r="D19" s="615" t="str">
        <f>VLOOKUP(A19,'пр.взв.'!B6:H133,4,FALSE)</f>
        <v>УФО</v>
      </c>
      <c r="E19" s="1"/>
      <c r="F19" s="1"/>
      <c r="G19" s="6"/>
      <c r="H19" s="52"/>
    </row>
    <row r="20" spans="1:8" ht="12" customHeight="1">
      <c r="A20" s="601"/>
      <c r="B20" s="616"/>
      <c r="C20" s="616"/>
      <c r="D20" s="616"/>
      <c r="E20" s="7"/>
      <c r="F20" s="1"/>
      <c r="G20" s="6"/>
      <c r="H20" s="51"/>
    </row>
    <row r="21" spans="1:8" ht="12" customHeight="1">
      <c r="A21" s="601">
        <v>37</v>
      </c>
      <c r="B21" s="604" t="e">
        <f>VLOOKUP(A21,'пр.взв.'!B24:C151,2,FALSE)</f>
        <v>#N/A</v>
      </c>
      <c r="C21" s="604" t="e">
        <f>VLOOKUP(A21,'пр.взв.'!B24:H151,3,FALSE)</f>
        <v>#N/A</v>
      </c>
      <c r="D21" s="604" t="e">
        <f>VLOOKUP(A21,'пр.взв.'!B24:F151,4,FALSE)</f>
        <v>#N/A</v>
      </c>
      <c r="E21" s="3"/>
      <c r="F21" s="1"/>
      <c r="G21" s="6"/>
      <c r="H21" s="51"/>
    </row>
    <row r="22" spans="1:8" ht="12" customHeight="1" thickBot="1">
      <c r="A22" s="602"/>
      <c r="B22" s="616"/>
      <c r="C22" s="616"/>
      <c r="D22" s="616"/>
      <c r="E22" s="4"/>
      <c r="F22" s="8"/>
      <c r="G22" s="6"/>
      <c r="H22" s="51"/>
    </row>
    <row r="23" spans="1:8" ht="12" customHeight="1">
      <c r="A23" s="611">
        <v>21</v>
      </c>
      <c r="B23" s="615" t="str">
        <f>VLOOKUP(A23,'пр.взв.'!B26:C153,2,FALSE)</f>
        <v>ЛУКЬЯНОВ Святослав Сергеевич</v>
      </c>
      <c r="C23" s="615" t="str">
        <f>VLOOKUP(A23,'пр.взв.'!B26:H153,3,FALSE)</f>
        <v>26.04.91 мс</v>
      </c>
      <c r="D23" s="615" t="str">
        <f>VLOOKUP(A23,'пр.взв.'!B26:F153,4,FALSE)</f>
        <v>КФО</v>
      </c>
      <c r="E23" s="4"/>
      <c r="F23" s="5"/>
      <c r="G23" s="6"/>
      <c r="H23" s="51"/>
    </row>
    <row r="24" spans="1:8" ht="12" customHeight="1">
      <c r="A24" s="601"/>
      <c r="B24" s="616"/>
      <c r="C24" s="616"/>
      <c r="D24" s="616"/>
      <c r="E24" s="9"/>
      <c r="F24" s="6"/>
      <c r="G24" s="6"/>
      <c r="H24" s="51"/>
    </row>
    <row r="25" spans="1:8" ht="12" customHeight="1">
      <c r="A25" s="601">
        <v>53</v>
      </c>
      <c r="B25" s="604" t="e">
        <f>VLOOKUP(A25,'пр.взв.'!B28:C155,2,FALSE)</f>
        <v>#N/A</v>
      </c>
      <c r="C25" s="604" t="e">
        <f>VLOOKUP(A25,'пр.взв.'!B28:H155,3,FALSE)</f>
        <v>#N/A</v>
      </c>
      <c r="D25" s="604" t="e">
        <f>VLOOKUP(A25,'пр.взв.'!B28:F155,4,FALSE)</f>
        <v>#N/A</v>
      </c>
      <c r="E25" s="2"/>
      <c r="F25" s="6"/>
      <c r="G25" s="6"/>
      <c r="H25" s="51"/>
    </row>
    <row r="26" spans="1:8" ht="12" customHeight="1" thickBot="1">
      <c r="A26" s="602"/>
      <c r="B26" s="616"/>
      <c r="C26" s="616"/>
      <c r="D26" s="616"/>
      <c r="E26" s="1"/>
      <c r="F26" s="6"/>
      <c r="G26" s="6"/>
      <c r="H26" s="51"/>
    </row>
    <row r="27" spans="1:8" ht="12" customHeight="1">
      <c r="A27" s="611">
        <v>13</v>
      </c>
      <c r="B27" s="615" t="str">
        <f>VLOOKUP(A27,'пр.взв.'!B30:C157,2,FALSE)</f>
        <v>КОМЛЕВ Роман Олегович</v>
      </c>
      <c r="C27" s="615" t="str">
        <f>VLOOKUP(A27,'пр.взв.'!B30:H157,3,FALSE)</f>
        <v>15.09.89, МС</v>
      </c>
      <c r="D27" s="615" t="str">
        <f>VLOOKUP(A27,'пр.взв.'!B30:F157,4,FALSE)</f>
        <v>СФО</v>
      </c>
      <c r="E27" s="1"/>
      <c r="F27" s="6"/>
      <c r="G27" s="10"/>
      <c r="H27" s="51"/>
    </row>
    <row r="28" spans="1:8" ht="12" customHeight="1">
      <c r="A28" s="601"/>
      <c r="B28" s="616"/>
      <c r="C28" s="616"/>
      <c r="D28" s="616"/>
      <c r="E28" s="7"/>
      <c r="F28" s="6"/>
      <c r="G28" s="1"/>
      <c r="H28" s="51"/>
    </row>
    <row r="29" spans="1:8" ht="12" customHeight="1">
      <c r="A29" s="601">
        <v>45</v>
      </c>
      <c r="B29" s="604" t="e">
        <f>VLOOKUP(A29,'пр.взв.'!B32:C159,2,FALSE)</f>
        <v>#N/A</v>
      </c>
      <c r="C29" s="604" t="e">
        <f>VLOOKUP(A29,'пр.взв.'!B32:H159,3,FALSE)</f>
        <v>#N/A</v>
      </c>
      <c r="D29" s="604" t="e">
        <f>VLOOKUP(A29,'пр.взв.'!B32:F159,4,FALSE)</f>
        <v>#N/A</v>
      </c>
      <c r="E29" s="3"/>
      <c r="F29" s="6"/>
      <c r="G29" s="1"/>
      <c r="H29" s="51"/>
    </row>
    <row r="30" spans="1:8" ht="12" customHeight="1" thickBot="1">
      <c r="A30" s="602"/>
      <c r="B30" s="616"/>
      <c r="C30" s="616"/>
      <c r="D30" s="616"/>
      <c r="E30" s="4"/>
      <c r="F30" s="10"/>
      <c r="G30" s="1"/>
      <c r="H30" s="51"/>
    </row>
    <row r="31" spans="1:8" ht="12" customHeight="1">
      <c r="A31" s="611">
        <v>29</v>
      </c>
      <c r="B31" s="615" t="str">
        <f>VLOOKUP(A31,'пр.взв.'!B34:C161,2,FALSE)</f>
        <v>ОСИПЕНКО Артем Иванович</v>
      </c>
      <c r="C31" s="615" t="str">
        <f>VLOOKUP(A31,'пр.взв.'!B34:H161,3,FALSE)</f>
        <v>27.05.88 змс</v>
      </c>
      <c r="D31" s="615" t="str">
        <f>VLOOKUP(A31,'пр.взв.'!B34:F161,4,FALSE)</f>
        <v>ЦФО</v>
      </c>
      <c r="E31" s="4"/>
      <c r="F31" s="1"/>
      <c r="G31" s="1"/>
      <c r="H31" s="51"/>
    </row>
    <row r="32" spans="1:8" ht="12" customHeight="1">
      <c r="A32" s="601"/>
      <c r="B32" s="616"/>
      <c r="C32" s="616"/>
      <c r="D32" s="616"/>
      <c r="E32" s="9"/>
      <c r="F32" s="1"/>
      <c r="G32" s="1"/>
      <c r="H32" s="51"/>
    </row>
    <row r="33" spans="1:8" ht="12" customHeight="1">
      <c r="A33" s="601">
        <v>61</v>
      </c>
      <c r="B33" s="620" t="e">
        <f>VLOOKUP(A33,'пр.взв.'!B36:C163,2,FALSE)</f>
        <v>#N/A</v>
      </c>
      <c r="C33" s="620" t="e">
        <f>VLOOKUP(A33,'пр.взв.'!B36:H163,3,FALSE)</f>
        <v>#N/A</v>
      </c>
      <c r="D33" s="620" t="e">
        <f>VLOOKUP(A33,'пр.взв.'!B36:F163,4,FALSE)</f>
        <v>#N/A</v>
      </c>
      <c r="E33" s="2"/>
      <c r="F33" s="1"/>
      <c r="G33" s="1"/>
      <c r="H33" s="51"/>
    </row>
    <row r="34" spans="1:8" ht="12" customHeight="1" thickBot="1">
      <c r="A34" s="602"/>
      <c r="B34" s="621"/>
      <c r="C34" s="621"/>
      <c r="D34" s="621"/>
      <c r="E34" s="49"/>
      <c r="F34" s="49"/>
      <c r="G34" s="49"/>
      <c r="H34" s="53"/>
    </row>
    <row r="35" spans="1:16" ht="12" customHeight="1" thickBot="1">
      <c r="A35" s="45"/>
      <c r="B35" s="48"/>
      <c r="C35" s="48"/>
      <c r="D35" s="49"/>
      <c r="E35" s="1"/>
      <c r="F35" s="1"/>
      <c r="G35" s="1"/>
      <c r="H35" s="54"/>
      <c r="P35" s="24"/>
    </row>
    <row r="36" spans="1:8" ht="12" customHeight="1">
      <c r="A36" s="611">
        <v>3</v>
      </c>
      <c r="B36" s="615" t="str">
        <f>VLOOKUP(A36,'пр.взв.'!B6:H133,2,FALSE)</f>
        <v>МГОЕВ Джамал Алиевич</v>
      </c>
      <c r="C36" s="615" t="str">
        <f>VLOOKUP(A36,'пр.взв.'!B6:H133,3,FALSE)</f>
        <v>23.07.95, КМС</v>
      </c>
      <c r="D36" s="615" t="str">
        <f>VLOOKUP(A36,'пр.взв.'!B6:H133,4,FALSE)</f>
        <v>ЮФО</v>
      </c>
      <c r="E36" s="49"/>
      <c r="F36" s="49"/>
      <c r="G36" s="49"/>
      <c r="H36" s="53"/>
    </row>
    <row r="37" spans="1:16" ht="12" customHeight="1">
      <c r="A37" s="601"/>
      <c r="B37" s="616"/>
      <c r="C37" s="616"/>
      <c r="D37" s="616"/>
      <c r="E37" s="1"/>
      <c r="F37" s="1"/>
      <c r="G37" s="50"/>
      <c r="H37" s="51"/>
      <c r="P37" s="12"/>
    </row>
    <row r="38" spans="1:8" ht="12" customHeight="1">
      <c r="A38" s="601">
        <v>35</v>
      </c>
      <c r="B38" s="604" t="e">
        <f>VLOOKUP(A38,'пр.взв.'!B8:H135,2,FALSE)</f>
        <v>#N/A</v>
      </c>
      <c r="C38" s="604" t="e">
        <f>VLOOKUP(A38,'пр.взв.'!B8:H135,3,FALSE)</f>
        <v>#N/A</v>
      </c>
      <c r="D38" s="604" t="e">
        <f>VLOOKUP(A38,'пр.взв.'!B8:H135,4,FALSE)</f>
        <v>#N/A</v>
      </c>
      <c r="E38" s="3"/>
      <c r="F38" s="1"/>
      <c r="G38" s="1"/>
      <c r="H38" s="51"/>
    </row>
    <row r="39" spans="1:8" ht="12" customHeight="1" thickBot="1">
      <c r="A39" s="602"/>
      <c r="B39" s="616"/>
      <c r="C39" s="616"/>
      <c r="D39" s="616"/>
      <c r="E39" s="4"/>
      <c r="F39" s="8"/>
      <c r="G39" s="1"/>
      <c r="H39" s="51"/>
    </row>
    <row r="40" spans="1:8" ht="12" customHeight="1">
      <c r="A40" s="611">
        <v>19</v>
      </c>
      <c r="B40" s="615" t="str">
        <f>VLOOKUP(A40,'пр.взв.'!B10:H137,2,FALSE)</f>
        <v>КУЛИКОВ Александр Сергеевич</v>
      </c>
      <c r="C40" s="615" t="str">
        <f>VLOOKUP(A40,'пр.взв.'!B10:H137,3,FALSE)</f>
        <v>11.11.790, МС</v>
      </c>
      <c r="D40" s="615" t="str">
        <f>VLOOKUP(A40,'пр.взв.'!B10:H137,4,FALSE)</f>
        <v>УФО</v>
      </c>
      <c r="E40" s="4"/>
      <c r="F40" s="5"/>
      <c r="G40" s="1"/>
      <c r="H40" s="51"/>
    </row>
    <row r="41" spans="1:8" ht="12" customHeight="1">
      <c r="A41" s="601"/>
      <c r="B41" s="616"/>
      <c r="C41" s="616"/>
      <c r="D41" s="616"/>
      <c r="E41" s="9"/>
      <c r="F41" s="6"/>
      <c r="G41" s="1"/>
      <c r="H41" s="51"/>
    </row>
    <row r="42" spans="1:8" ht="12" customHeight="1">
      <c r="A42" s="601">
        <v>51</v>
      </c>
      <c r="B42" s="604" t="e">
        <f>VLOOKUP(A42,'пр.взв.'!B12:H139,2,FALSE)</f>
        <v>#N/A</v>
      </c>
      <c r="C42" s="604" t="e">
        <f>VLOOKUP(A42,'пр.взв.'!B12:H139,3,FALSE)</f>
        <v>#N/A</v>
      </c>
      <c r="D42" s="604" t="e">
        <f>VLOOKUP(A42,'пр.взв.'!B12:H139,4,FALSE)</f>
        <v>#N/A</v>
      </c>
      <c r="E42" s="2"/>
      <c r="F42" s="6"/>
      <c r="G42" s="1"/>
      <c r="H42" s="51"/>
    </row>
    <row r="43" spans="1:8" ht="12" customHeight="1" thickBot="1">
      <c r="A43" s="622"/>
      <c r="B43" s="616"/>
      <c r="C43" s="616"/>
      <c r="D43" s="616"/>
      <c r="E43" s="1"/>
      <c r="F43" s="6"/>
      <c r="G43" s="8"/>
      <c r="H43" s="51"/>
    </row>
    <row r="44" spans="1:8" ht="12" customHeight="1">
      <c r="A44" s="611">
        <v>11</v>
      </c>
      <c r="B44" s="615" t="str">
        <f>VLOOKUP(A44,'пр.взв.'!B14:H141,2,FALSE)</f>
        <v>ЮСУФОВ Гаджи Чингизович</v>
      </c>
      <c r="C44" s="615" t="str">
        <f>VLOOKUP(A44,'пр.взв.'!B14:H141,3,FALSE)</f>
        <v>08.05.90, МС</v>
      </c>
      <c r="D44" s="615" t="str">
        <f>VLOOKUP(A44,'пр.взв.'!B14:H141,4,FALSE)</f>
        <v>ПФО</v>
      </c>
      <c r="E44" s="1"/>
      <c r="F44" s="6"/>
      <c r="G44" s="5"/>
      <c r="H44" s="51"/>
    </row>
    <row r="45" spans="1:8" ht="12" customHeight="1">
      <c r="A45" s="601"/>
      <c r="B45" s="616"/>
      <c r="C45" s="616"/>
      <c r="D45" s="616"/>
      <c r="E45" s="7"/>
      <c r="F45" s="6"/>
      <c r="G45" s="6"/>
      <c r="H45" s="51"/>
    </row>
    <row r="46" spans="1:8" ht="12" customHeight="1">
      <c r="A46" s="601">
        <v>43</v>
      </c>
      <c r="B46" s="604" t="e">
        <f>VLOOKUP(A46,'пр.взв.'!B16:H143,2,FALSE)</f>
        <v>#N/A</v>
      </c>
      <c r="C46" s="604" t="e">
        <f>VLOOKUP(A46,'пр.взв.'!B16:H143,3,FALSE)</f>
        <v>#N/A</v>
      </c>
      <c r="D46" s="604" t="e">
        <f>VLOOKUP(A46,'пр.взв.'!B16:H143,4,FALSE)</f>
        <v>#N/A</v>
      </c>
      <c r="E46" s="3"/>
      <c r="F46" s="6"/>
      <c r="G46" s="6"/>
      <c r="H46" s="51"/>
    </row>
    <row r="47" spans="1:8" ht="12" customHeight="1" thickBot="1">
      <c r="A47" s="602"/>
      <c r="B47" s="616"/>
      <c r="C47" s="616"/>
      <c r="D47" s="616"/>
      <c r="E47" s="4"/>
      <c r="F47" s="10"/>
      <c r="G47" s="6"/>
      <c r="H47" s="51"/>
    </row>
    <row r="48" spans="1:8" ht="12" customHeight="1">
      <c r="A48" s="611">
        <v>27</v>
      </c>
      <c r="B48" s="615" t="str">
        <f>VLOOKUP(A48,'пр.взв.'!B18:H145,2,FALSE)</f>
        <v>ГИБАДУЛЛИН Игорь Витальевич</v>
      </c>
      <c r="C48" s="615" t="str">
        <f>VLOOKUP(A48,'пр.взв.'!B18:H145,3,FALSE)</f>
        <v>27.03.84, МСМК</v>
      </c>
      <c r="D48" s="615" t="str">
        <f>VLOOKUP(A48,'пр.взв.'!B18:H145,4,FALSE)</f>
        <v>УФО</v>
      </c>
      <c r="E48" s="4"/>
      <c r="F48" s="1"/>
      <c r="G48" s="6"/>
      <c r="H48" s="51"/>
    </row>
    <row r="49" spans="1:8" ht="12" customHeight="1">
      <c r="A49" s="601"/>
      <c r="B49" s="616"/>
      <c r="C49" s="616"/>
      <c r="D49" s="616"/>
      <c r="E49" s="9"/>
      <c r="F49" s="1"/>
      <c r="G49" s="6"/>
      <c r="H49" s="51"/>
    </row>
    <row r="50" spans="1:8" ht="12" customHeight="1">
      <c r="A50" s="601">
        <v>59</v>
      </c>
      <c r="B50" s="604" t="e">
        <f>VLOOKUP(A50,'пр.взв.'!B20:H147,2,FALSE)</f>
        <v>#N/A</v>
      </c>
      <c r="C50" s="604" t="e">
        <f>VLOOKUP(A50,'пр.взв.'!B20:H147,3,FALSE)</f>
        <v>#N/A</v>
      </c>
      <c r="D50" s="604" t="e">
        <f>VLOOKUP(A50,'пр.взв.'!B20:H147,4,FALSE)</f>
        <v>#N/A</v>
      </c>
      <c r="E50" s="2"/>
      <c r="F50" s="1"/>
      <c r="G50" s="6"/>
      <c r="H50" s="51"/>
    </row>
    <row r="51" spans="1:8" ht="12" customHeight="1" thickBot="1">
      <c r="A51" s="602"/>
      <c r="B51" s="616"/>
      <c r="C51" s="616"/>
      <c r="D51" s="616"/>
      <c r="E51" s="1"/>
      <c r="F51" s="1"/>
      <c r="G51" s="6"/>
      <c r="H51" s="51"/>
    </row>
    <row r="52" spans="1:8" ht="12" customHeight="1">
      <c r="A52" s="611">
        <v>7</v>
      </c>
      <c r="B52" s="615" t="str">
        <f>VLOOKUP(A52,'пр.взв.'!B6:H133,2,FALSE)</f>
        <v>БАЙРАМУКОВ Таулан Хасанович</v>
      </c>
      <c r="C52" s="615" t="str">
        <f>VLOOKUP(A52,'пр.взв.'!B6:H133,3,FALSE)</f>
        <v>09.01.1991, МС</v>
      </c>
      <c r="D52" s="615" t="str">
        <f>VLOOKUP(A52,'пр.взв.'!B6:H133,4,FALSE)</f>
        <v>СКФО</v>
      </c>
      <c r="E52" s="1"/>
      <c r="F52" s="1"/>
      <c r="G52" s="6"/>
      <c r="H52" s="51"/>
    </row>
    <row r="53" spans="1:8" ht="12" customHeight="1">
      <c r="A53" s="601"/>
      <c r="B53" s="616"/>
      <c r="C53" s="616"/>
      <c r="D53" s="616"/>
      <c r="E53" s="7"/>
      <c r="F53" s="1"/>
      <c r="G53" s="6"/>
      <c r="H53" s="54"/>
    </row>
    <row r="54" spans="1:8" ht="12" customHeight="1">
      <c r="A54" s="601">
        <v>39</v>
      </c>
      <c r="B54" s="604" t="e">
        <f>VLOOKUP(A54,'пр.взв.'!B24:H151,2,FALSE)</f>
        <v>#N/A</v>
      </c>
      <c r="C54" s="604" t="e">
        <f>VLOOKUP(A54,'пр.взв.'!B24:H151,3,FALSE)</f>
        <v>#N/A</v>
      </c>
      <c r="D54" s="604" t="e">
        <f>VLOOKUP(A54,'пр.взв.'!B24:H151,4,FALSE)</f>
        <v>#N/A</v>
      </c>
      <c r="E54" s="3"/>
      <c r="F54" s="1"/>
      <c r="G54" s="6"/>
      <c r="H54" s="50"/>
    </row>
    <row r="55" spans="1:8" ht="12" customHeight="1" thickBot="1">
      <c r="A55" s="602"/>
      <c r="B55" s="616"/>
      <c r="C55" s="616"/>
      <c r="D55" s="616"/>
      <c r="E55" s="4"/>
      <c r="F55" s="8"/>
      <c r="G55" s="6"/>
      <c r="H55" s="50"/>
    </row>
    <row r="56" spans="1:8" ht="12" customHeight="1">
      <c r="A56" s="611">
        <v>23</v>
      </c>
      <c r="B56" s="615" t="str">
        <f>VLOOKUP(A56,'пр.взв.'!B26:H153,2,FALSE)</f>
        <v>МИХАЛЬЧЕНКО Роман Александрович</v>
      </c>
      <c r="C56" s="615" t="str">
        <f>VLOOKUP(A56,'пр.взв.'!B26:H153,3,FALSE)</f>
        <v>27.06.87 мсмк</v>
      </c>
      <c r="D56" s="615" t="str">
        <f>VLOOKUP(A56,'пр.взв.'!B26:H153,4,FALSE)</f>
        <v>УФО</v>
      </c>
      <c r="E56" s="4"/>
      <c r="F56" s="5"/>
      <c r="G56" s="6"/>
      <c r="H56" s="50"/>
    </row>
    <row r="57" spans="1:8" ht="12" customHeight="1">
      <c r="A57" s="601"/>
      <c r="B57" s="616"/>
      <c r="C57" s="616"/>
      <c r="D57" s="616"/>
      <c r="E57" s="9"/>
      <c r="F57" s="6"/>
      <c r="G57" s="6"/>
      <c r="H57" s="50"/>
    </row>
    <row r="58" spans="1:8" ht="12" customHeight="1">
      <c r="A58" s="601">
        <v>55</v>
      </c>
      <c r="B58" s="604" t="e">
        <f>VLOOKUP(A58,'пр.взв.'!B28:H155,2,FALSE)</f>
        <v>#N/A</v>
      </c>
      <c r="C58" s="604" t="e">
        <f>VLOOKUP(A58,'пр.взв.'!B28:H155,3,FALSE)</f>
        <v>#N/A</v>
      </c>
      <c r="D58" s="604" t="e">
        <f>VLOOKUP(A58,'пр.взв.'!B28:H155,4,FALSE)</f>
        <v>#N/A</v>
      </c>
      <c r="E58" s="2"/>
      <c r="F58" s="6"/>
      <c r="G58" s="6"/>
      <c r="H58" s="50"/>
    </row>
    <row r="59" spans="1:8" ht="12" customHeight="1" thickBot="1">
      <c r="A59" s="602"/>
      <c r="B59" s="616"/>
      <c r="C59" s="616"/>
      <c r="D59" s="616"/>
      <c r="E59" s="1"/>
      <c r="F59" s="6"/>
      <c r="G59" s="6"/>
      <c r="H59" s="50"/>
    </row>
    <row r="60" spans="1:8" ht="12" customHeight="1">
      <c r="A60" s="611">
        <v>15</v>
      </c>
      <c r="B60" s="615" t="str">
        <f>VLOOKUP(A60,'пр.взв.'!B30:H157,2,FALSE)</f>
        <v>ХОРПЯКОВ Олег Вячеславович</v>
      </c>
      <c r="C60" s="615" t="str">
        <f>VLOOKUP(A60,'пр.взв.'!B30:H157,3,FALSE)</f>
        <v>28.02.77, МСМК</v>
      </c>
      <c r="D60" s="615" t="str">
        <f>VLOOKUP(A60,'пр.взв.'!B30:H157,4,FALSE)</f>
        <v>МОС</v>
      </c>
      <c r="E60" s="1"/>
      <c r="F60" s="6"/>
      <c r="G60" s="10"/>
      <c r="H60" s="50"/>
    </row>
    <row r="61" spans="1:8" ht="12" customHeight="1">
      <c r="A61" s="601"/>
      <c r="B61" s="616"/>
      <c r="C61" s="616"/>
      <c r="D61" s="616"/>
      <c r="E61" s="7"/>
      <c r="F61" s="6"/>
      <c r="G61" s="1"/>
      <c r="H61" s="50"/>
    </row>
    <row r="62" spans="1:8" ht="12" customHeight="1">
      <c r="A62" s="601">
        <v>47</v>
      </c>
      <c r="B62" s="604" t="e">
        <f>VLOOKUP(A62,'пр.взв.'!B32:H159,2,FALSE)</f>
        <v>#N/A</v>
      </c>
      <c r="C62" s="604" t="e">
        <f>VLOOKUP(A62,'пр.взв.'!B32:H159,3,FALSE)</f>
        <v>#N/A</v>
      </c>
      <c r="D62" s="604" t="e">
        <f>VLOOKUP(A62,'пр.взв.'!B32:H159,4,FALSE)</f>
        <v>#N/A</v>
      </c>
      <c r="E62" s="3"/>
      <c r="F62" s="6"/>
      <c r="G62" s="1"/>
      <c r="H62" s="50"/>
    </row>
    <row r="63" spans="1:8" ht="12" customHeight="1" thickBot="1">
      <c r="A63" s="602"/>
      <c r="B63" s="616"/>
      <c r="C63" s="616"/>
      <c r="D63" s="616"/>
      <c r="E63" s="4"/>
      <c r="F63" s="10"/>
      <c r="G63" s="1"/>
      <c r="H63" s="50"/>
    </row>
    <row r="64" spans="1:8" ht="12" customHeight="1">
      <c r="A64" s="611">
        <v>31</v>
      </c>
      <c r="B64" s="615" t="str">
        <f>VLOOKUP(A64,'пр.взв.'!B34:H161,2,FALSE)</f>
        <v>САЛАМАХА Николай Анатольевич</v>
      </c>
      <c r="C64" s="615" t="str">
        <f>VLOOKUP(A64,'пр.взв.'!B34:H161,3,FALSE)</f>
        <v>02.01.1991, кмс</v>
      </c>
      <c r="D64" s="615" t="str">
        <f>VLOOKUP(A64,'пр.взв.'!B34:H161,4,FALSE)</f>
        <v>СЕВ</v>
      </c>
      <c r="E64" s="4"/>
      <c r="F64" s="1"/>
      <c r="G64" s="1"/>
      <c r="H64" s="50"/>
    </row>
    <row r="65" spans="1:8" ht="12" customHeight="1">
      <c r="A65" s="601"/>
      <c r="B65" s="616"/>
      <c r="C65" s="616"/>
      <c r="D65" s="616"/>
      <c r="E65" s="9"/>
      <c r="F65" s="1"/>
      <c r="G65" s="1"/>
      <c r="H65" s="50"/>
    </row>
    <row r="66" spans="1:8" ht="12" customHeight="1">
      <c r="A66" s="601">
        <v>63</v>
      </c>
      <c r="B66" s="620" t="e">
        <f>VLOOKUP(A66,'пр.взв.'!B36:H163,2,FALSE)</f>
        <v>#N/A</v>
      </c>
      <c r="C66" s="620" t="e">
        <f>VLOOKUP(A66,'пр.взв.'!B36:H163,3,FALSE)</f>
        <v>#N/A</v>
      </c>
      <c r="D66" s="620" t="e">
        <f>VLOOKUP(A66,'пр.взв.'!B36:H163,4,FALSE)</f>
        <v>#N/A</v>
      </c>
      <c r="E66" s="2"/>
      <c r="F66" s="1"/>
      <c r="G66" s="1"/>
      <c r="H66" s="50"/>
    </row>
    <row r="67" spans="1:8" ht="12" customHeight="1" thickBot="1">
      <c r="A67" s="602"/>
      <c r="B67" s="621"/>
      <c r="C67" s="621"/>
      <c r="D67" s="621"/>
      <c r="E67" s="49"/>
      <c r="F67" s="49"/>
      <c r="G67" s="49"/>
      <c r="H67" s="49"/>
    </row>
    <row r="68" spans="1:8" ht="12.75">
      <c r="A68" s="49"/>
      <c r="B68" s="49"/>
      <c r="C68" s="49"/>
      <c r="D68" s="49"/>
      <c r="E68" s="49"/>
      <c r="F68" s="49"/>
      <c r="G68" s="49"/>
      <c r="H68" s="49"/>
    </row>
    <row r="69" spans="1:8" ht="12.75">
      <c r="A69" s="49"/>
      <c r="B69" s="49"/>
      <c r="C69" s="49"/>
      <c r="D69" s="49"/>
      <c r="E69" s="49"/>
      <c r="F69" s="49"/>
      <c r="G69" s="49"/>
      <c r="H69" s="49"/>
    </row>
    <row r="70" spans="1:8" ht="12.75">
      <c r="A70" s="49"/>
      <c r="B70" s="49"/>
      <c r="C70" s="49"/>
      <c r="D70" s="49"/>
      <c r="E70" s="49"/>
      <c r="F70" s="49"/>
      <c r="G70" s="49"/>
      <c r="H70" s="49"/>
    </row>
    <row r="71" spans="1:8" ht="12.75">
      <c r="A71" s="49"/>
      <c r="B71" s="49"/>
      <c r="C71" s="49"/>
      <c r="D71" s="49"/>
      <c r="E71" s="49"/>
      <c r="F71" s="49"/>
      <c r="G71" s="49"/>
      <c r="H71" s="49"/>
    </row>
    <row r="72" spans="1:8" ht="12.75">
      <c r="A72" s="30" t="s">
        <v>21</v>
      </c>
      <c r="B72" s="56"/>
      <c r="C72" s="56"/>
      <c r="D72" s="56"/>
      <c r="E72" s="617">
        <f>HYPERLINK('пр.взв.'!G4)</f>
      </c>
      <c r="F72" s="56"/>
      <c r="G72" s="30" t="s">
        <v>23</v>
      </c>
      <c r="H72" s="56"/>
    </row>
    <row r="73" spans="1:8" ht="12.75">
      <c r="A73" s="56"/>
      <c r="B73" s="56"/>
      <c r="C73" s="56"/>
      <c r="D73" s="56"/>
      <c r="E73" s="606"/>
      <c r="F73" s="56"/>
      <c r="G73" s="56"/>
      <c r="H73" s="56"/>
    </row>
    <row r="74" spans="1:8" ht="19.5" customHeight="1">
      <c r="A74" s="56"/>
      <c r="B74" s="56"/>
      <c r="C74" s="56"/>
      <c r="D74" s="56"/>
      <c r="E74" s="56"/>
      <c r="F74" s="56"/>
      <c r="G74" s="56"/>
      <c r="H74" s="56"/>
    </row>
    <row r="75" spans="1:9" ht="19.5" customHeight="1">
      <c r="A75" s="16"/>
      <c r="B75" s="18"/>
      <c r="C75" s="13"/>
      <c r="D75" s="17"/>
      <c r="E75" s="17"/>
      <c r="G75" s="59"/>
      <c r="H75" s="59"/>
      <c r="I75" s="12"/>
    </row>
    <row r="76" spans="1:9" ht="19.5" customHeight="1">
      <c r="A76" s="12"/>
      <c r="B76" s="19"/>
      <c r="G76" s="59"/>
      <c r="H76" s="59"/>
      <c r="I76" s="12"/>
    </row>
    <row r="77" spans="1:9" ht="19.5" customHeight="1">
      <c r="A77" s="12"/>
      <c r="B77" s="44"/>
      <c r="C77" s="43"/>
      <c r="D77" s="21"/>
      <c r="E77" s="17"/>
      <c r="G77" s="34"/>
      <c r="H77" s="59"/>
      <c r="I77" s="12"/>
    </row>
    <row r="78" spans="1:9" ht="19.5" customHeight="1">
      <c r="A78" s="11"/>
      <c r="B78" s="15"/>
      <c r="C78" s="20"/>
      <c r="D78" s="60"/>
      <c r="E78" s="17"/>
      <c r="G78" s="34"/>
      <c r="H78" s="59"/>
      <c r="I78" s="12"/>
    </row>
    <row r="79" spans="1:9" ht="19.5" customHeight="1">
      <c r="A79" s="12"/>
      <c r="B79" s="20"/>
      <c r="C79" s="20"/>
      <c r="D79" s="35"/>
      <c r="E79" s="18"/>
      <c r="F79" s="20"/>
      <c r="H79" s="59"/>
      <c r="I79" s="12"/>
    </row>
    <row r="80" spans="1:9" ht="19.5" customHeight="1">
      <c r="A80" s="12"/>
      <c r="B80" s="20"/>
      <c r="C80" s="14"/>
      <c r="D80" s="37"/>
      <c r="E80" s="19"/>
      <c r="F80" s="61"/>
      <c r="H80" s="59"/>
      <c r="I80" s="12"/>
    </row>
    <row r="81" spans="2:9" ht="19.5" customHeight="1">
      <c r="B81" s="62"/>
      <c r="C81" s="62"/>
      <c r="D81" s="12"/>
      <c r="E81" s="19"/>
      <c r="F81" s="18"/>
      <c r="H81" s="59"/>
      <c r="I81" s="12"/>
    </row>
    <row r="82" spans="3:9" ht="19.5" customHeight="1">
      <c r="C82" s="17"/>
      <c r="D82" s="12"/>
      <c r="E82" s="15"/>
      <c r="F82" s="19"/>
      <c r="H82" s="59"/>
      <c r="I82" s="12"/>
    </row>
    <row r="83" spans="1:9" ht="19.5" customHeight="1">
      <c r="A83" s="16"/>
      <c r="B83" s="18"/>
      <c r="D83" s="12"/>
      <c r="F83" s="35"/>
      <c r="H83" s="59"/>
      <c r="I83" s="12"/>
    </row>
    <row r="84" spans="1:9" ht="19.5" customHeight="1">
      <c r="A84" s="12"/>
      <c r="B84" s="19"/>
      <c r="C84" s="13"/>
      <c r="D84" s="12"/>
      <c r="E84" s="17"/>
      <c r="F84" s="19"/>
      <c r="G84" s="12"/>
      <c r="H84" s="59"/>
      <c r="I84" s="12"/>
    </row>
    <row r="85" spans="1:9" ht="19.5" customHeight="1">
      <c r="A85" s="12"/>
      <c r="B85" s="44"/>
      <c r="C85" s="43"/>
      <c r="D85" s="36"/>
      <c r="E85" s="17"/>
      <c r="F85" s="19"/>
      <c r="G85" s="36"/>
      <c r="H85" s="59"/>
      <c r="I85" s="12"/>
    </row>
    <row r="86" spans="1:9" ht="19.5" customHeight="1">
      <c r="A86" s="11"/>
      <c r="B86" s="15"/>
      <c r="C86" s="20"/>
      <c r="D86" s="35"/>
      <c r="E86" s="13"/>
      <c r="F86" s="19"/>
      <c r="G86" s="35"/>
      <c r="H86" s="59"/>
      <c r="I86" s="12"/>
    </row>
    <row r="87" spans="1:9" ht="19.5" customHeight="1">
      <c r="A87" s="12"/>
      <c r="B87" s="20"/>
      <c r="C87" s="20"/>
      <c r="D87" s="35"/>
      <c r="E87" s="18"/>
      <c r="F87" s="19"/>
      <c r="G87" s="35"/>
      <c r="H87" s="59"/>
      <c r="I87" s="12"/>
    </row>
    <row r="88" spans="1:9" ht="19.5" customHeight="1">
      <c r="A88" s="12"/>
      <c r="B88" s="20"/>
      <c r="C88" s="14"/>
      <c r="D88" s="37"/>
      <c r="E88" s="19"/>
      <c r="F88" s="63"/>
      <c r="G88" s="35"/>
      <c r="H88" s="59"/>
      <c r="I88" s="12"/>
    </row>
    <row r="89" spans="2:9" ht="19.5" customHeight="1">
      <c r="B89" s="62"/>
      <c r="C89" s="62"/>
      <c r="E89" s="19"/>
      <c r="F89" s="22"/>
      <c r="G89" s="35"/>
      <c r="H89" s="59"/>
      <c r="I89" s="12"/>
    </row>
    <row r="90" spans="3:9" ht="19.5" customHeight="1">
      <c r="C90" s="17"/>
      <c r="E90" s="15"/>
      <c r="F90" s="20"/>
      <c r="G90" s="37"/>
      <c r="H90" s="59"/>
      <c r="I90" s="12"/>
    </row>
    <row r="91" spans="1:9" ht="19.5" customHeight="1">
      <c r="A91" s="59"/>
      <c r="B91" s="59"/>
      <c r="C91" s="59"/>
      <c r="D91" s="59"/>
      <c r="E91" s="59"/>
      <c r="F91" s="59"/>
      <c r="G91" s="34"/>
      <c r="H91" s="59"/>
      <c r="I91" s="12"/>
    </row>
    <row r="92" spans="1:9" ht="19.5" customHeight="1">
      <c r="A92" s="59"/>
      <c r="B92" s="20"/>
      <c r="C92" s="47"/>
      <c r="D92" s="59"/>
      <c r="E92" s="20"/>
      <c r="F92" s="22"/>
      <c r="G92" s="34"/>
      <c r="H92" s="59"/>
      <c r="I92" s="12"/>
    </row>
    <row r="93" spans="1:9" ht="19.5" customHeight="1">
      <c r="A93" s="59"/>
      <c r="B93" s="20"/>
      <c r="C93" s="22"/>
      <c r="D93" s="47"/>
      <c r="E93" s="47"/>
      <c r="F93" s="20"/>
      <c r="G93" s="59"/>
      <c r="H93" s="59"/>
      <c r="I93" s="12"/>
    </row>
    <row r="94" spans="1:9" ht="19.5" customHeight="1">
      <c r="A94" s="59"/>
      <c r="B94" s="59"/>
      <c r="C94" s="20"/>
      <c r="D94" s="59"/>
      <c r="E94" s="22"/>
      <c r="F94" s="20"/>
      <c r="G94" s="59"/>
      <c r="H94" s="59"/>
      <c r="I94" s="12"/>
    </row>
    <row r="95" spans="1:9" ht="19.5" customHeight="1">
      <c r="A95" s="59"/>
      <c r="B95" s="59"/>
      <c r="C95" s="22"/>
      <c r="D95" s="59"/>
      <c r="E95" s="20"/>
      <c r="F95" s="47"/>
      <c r="G95" s="34"/>
      <c r="H95" s="59"/>
      <c r="I95" s="12"/>
    </row>
    <row r="96" spans="1:9" ht="19.5" customHeight="1">
      <c r="A96" s="59"/>
      <c r="B96" s="20"/>
      <c r="C96" s="22"/>
      <c r="D96" s="47"/>
      <c r="E96" s="47"/>
      <c r="F96" s="20"/>
      <c r="G96" s="34"/>
      <c r="H96" s="59"/>
      <c r="I96" s="12"/>
    </row>
    <row r="97" spans="1:9" ht="19.5" customHeight="1">
      <c r="A97" s="59"/>
      <c r="B97" s="59"/>
      <c r="C97" s="20"/>
      <c r="D97" s="59"/>
      <c r="E97" s="22"/>
      <c r="F97" s="20"/>
      <c r="G97" s="34"/>
      <c r="H97" s="59"/>
      <c r="I97" s="12"/>
    </row>
    <row r="98" spans="1:9" ht="19.5" customHeight="1">
      <c r="A98" s="59"/>
      <c r="B98" s="59"/>
      <c r="C98" s="22"/>
      <c r="D98" s="59"/>
      <c r="E98" s="20"/>
      <c r="F98" s="47"/>
      <c r="G98" s="34"/>
      <c r="H98" s="59"/>
      <c r="I98" s="12"/>
    </row>
    <row r="99" spans="1:9" ht="19.5" customHeight="1">
      <c r="A99" s="59"/>
      <c r="B99" s="59"/>
      <c r="C99" s="59"/>
      <c r="D99" s="59"/>
      <c r="E99" s="59"/>
      <c r="F99" s="59"/>
      <c r="G99" s="59"/>
      <c r="H99" s="59"/>
      <c r="I99" s="12"/>
    </row>
    <row r="100" ht="19.5" customHeight="1"/>
    <row r="101" spans="1:8" ht="12.75">
      <c r="A101" s="50"/>
      <c r="B101" s="50"/>
      <c r="C101" s="50"/>
      <c r="D101" s="50"/>
      <c r="E101" s="50"/>
      <c r="F101" s="50"/>
      <c r="G101" s="55"/>
      <c r="H101" s="55"/>
    </row>
    <row r="102" ht="12.75">
      <c r="G102" s="12"/>
    </row>
    <row r="103" ht="12.75">
      <c r="G103" s="12"/>
    </row>
    <row r="104" ht="12.75">
      <c r="G104" s="12"/>
    </row>
  </sheetData>
  <sheetProtection/>
  <mergeCells count="133">
    <mergeCell ref="A66:A67"/>
    <mergeCell ref="B66:B67"/>
    <mergeCell ref="C66:C67"/>
    <mergeCell ref="D66:D67"/>
    <mergeCell ref="A64:A65"/>
    <mergeCell ref="B64:B65"/>
    <mergeCell ref="C64:C65"/>
    <mergeCell ref="D64:D65"/>
    <mergeCell ref="A62:A63"/>
    <mergeCell ref="B62:B63"/>
    <mergeCell ref="C62:C63"/>
    <mergeCell ref="D62:D63"/>
    <mergeCell ref="A60:A61"/>
    <mergeCell ref="B60:B61"/>
    <mergeCell ref="C60:C61"/>
    <mergeCell ref="D60:D61"/>
    <mergeCell ref="A58:A59"/>
    <mergeCell ref="B58:B59"/>
    <mergeCell ref="C58:C59"/>
    <mergeCell ref="D58:D59"/>
    <mergeCell ref="A56:A57"/>
    <mergeCell ref="B56:B57"/>
    <mergeCell ref="C56:C57"/>
    <mergeCell ref="D56:D57"/>
    <mergeCell ref="A54:A55"/>
    <mergeCell ref="B54:B55"/>
    <mergeCell ref="C54:C55"/>
    <mergeCell ref="D54:D55"/>
    <mergeCell ref="A52:A53"/>
    <mergeCell ref="B52:B53"/>
    <mergeCell ref="C52:C53"/>
    <mergeCell ref="D52:D53"/>
    <mergeCell ref="A50:A51"/>
    <mergeCell ref="B50:B51"/>
    <mergeCell ref="C50:C51"/>
    <mergeCell ref="D50:D51"/>
    <mergeCell ref="A48:A49"/>
    <mergeCell ref="B48:B49"/>
    <mergeCell ref="C48:C49"/>
    <mergeCell ref="D48:D49"/>
    <mergeCell ref="A46:A47"/>
    <mergeCell ref="B46:B47"/>
    <mergeCell ref="C46:C47"/>
    <mergeCell ref="D46:D47"/>
    <mergeCell ref="A44:A45"/>
    <mergeCell ref="B44:B45"/>
    <mergeCell ref="C44:C45"/>
    <mergeCell ref="D44:D45"/>
    <mergeCell ref="A42:A43"/>
    <mergeCell ref="B42:B43"/>
    <mergeCell ref="C42:C43"/>
    <mergeCell ref="D42:D43"/>
    <mergeCell ref="A40:A41"/>
    <mergeCell ref="B40:B41"/>
    <mergeCell ref="C40:C41"/>
    <mergeCell ref="D40:D41"/>
    <mergeCell ref="A38:A39"/>
    <mergeCell ref="B38:B39"/>
    <mergeCell ref="C38:C39"/>
    <mergeCell ref="D38:D39"/>
    <mergeCell ref="A36:A37"/>
    <mergeCell ref="B36:B37"/>
    <mergeCell ref="C36:C37"/>
    <mergeCell ref="D36:D37"/>
    <mergeCell ref="A33:A34"/>
    <mergeCell ref="B33:B34"/>
    <mergeCell ref="C33:C34"/>
    <mergeCell ref="D33:D34"/>
    <mergeCell ref="A31:A32"/>
    <mergeCell ref="B31:B32"/>
    <mergeCell ref="C31:C32"/>
    <mergeCell ref="D31:D32"/>
    <mergeCell ref="A29:A30"/>
    <mergeCell ref="B29:B30"/>
    <mergeCell ref="C29:C30"/>
    <mergeCell ref="D29:D30"/>
    <mergeCell ref="A27:A28"/>
    <mergeCell ref="B27:B28"/>
    <mergeCell ref="C27:C28"/>
    <mergeCell ref="D27:D28"/>
    <mergeCell ref="A25:A26"/>
    <mergeCell ref="B25:B26"/>
    <mergeCell ref="C25:C26"/>
    <mergeCell ref="D25:D26"/>
    <mergeCell ref="A23:A24"/>
    <mergeCell ref="B23:B24"/>
    <mergeCell ref="C23:C24"/>
    <mergeCell ref="D23:D24"/>
    <mergeCell ref="A21:A22"/>
    <mergeCell ref="B21:B22"/>
    <mergeCell ref="C21:C22"/>
    <mergeCell ref="D21:D22"/>
    <mergeCell ref="A19:A20"/>
    <mergeCell ref="B19:B20"/>
    <mergeCell ref="C19:C20"/>
    <mergeCell ref="D19:D20"/>
    <mergeCell ref="A17:A18"/>
    <mergeCell ref="B17:B18"/>
    <mergeCell ref="C17:C18"/>
    <mergeCell ref="D17:D18"/>
    <mergeCell ref="A15:A16"/>
    <mergeCell ref="B15:B16"/>
    <mergeCell ref="C15:C16"/>
    <mergeCell ref="D15:D16"/>
    <mergeCell ref="C7:C8"/>
    <mergeCell ref="A13:A14"/>
    <mergeCell ref="B13:B14"/>
    <mergeCell ref="C13:C14"/>
    <mergeCell ref="D13:D14"/>
    <mergeCell ref="A11:A12"/>
    <mergeCell ref="B11:B12"/>
    <mergeCell ref="C11:C12"/>
    <mergeCell ref="D11:D12"/>
    <mergeCell ref="H2:H3"/>
    <mergeCell ref="A9:A10"/>
    <mergeCell ref="B9:B10"/>
    <mergeCell ref="C9:C10"/>
    <mergeCell ref="D9:D10"/>
    <mergeCell ref="B5:B6"/>
    <mergeCell ref="C5:C6"/>
    <mergeCell ref="D5:D6"/>
    <mergeCell ref="A7:A8"/>
    <mergeCell ref="B7:B8"/>
    <mergeCell ref="A5:A6"/>
    <mergeCell ref="D7:D8"/>
    <mergeCell ref="E72:E73"/>
    <mergeCell ref="A1:H1"/>
    <mergeCell ref="A2:G2"/>
    <mergeCell ref="H5:H6"/>
    <mergeCell ref="A3:A4"/>
    <mergeCell ref="B3:B4"/>
    <mergeCell ref="C3:C4"/>
    <mergeCell ref="D3:D4"/>
  </mergeCells>
  <printOptions horizontalCentered="1"/>
  <pageMargins left="0" right="0.3937007874015748" top="0" bottom="0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самбо</cp:lastModifiedBy>
  <cp:lastPrinted>2016-03-07T17:06:50Z</cp:lastPrinted>
  <dcterms:created xsi:type="dcterms:W3CDTF">1996-10-08T23:32:33Z</dcterms:created>
  <dcterms:modified xsi:type="dcterms:W3CDTF">2016-03-07T17:13:29Z</dcterms:modified>
  <cp:category/>
  <cp:version/>
  <cp:contentType/>
  <cp:contentStatus/>
</cp:coreProperties>
</file>