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.взв." sheetId="1" r:id="rId1"/>
    <sheet name="пр.хода" sheetId="2" r:id="rId2"/>
    <sheet name="Итоговый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<sst xmlns="http://schemas.openxmlformats.org/spreadsheetml/2006/main" count="161" uniqueCount="115">
  <si>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</si>
  <si>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</si>
  <si>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</si>
  <si>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</si>
  <si>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</si>
  <si>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</si>
  <si>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</si>
  <si>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</si>
  <si>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</si>
  <si>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</si>
  <si>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</si>
  <si>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ФИНАЛ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</si>
  <si>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</si>
  <si>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</si>
  <si>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</si>
  <si>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</si>
  <si>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</si>
  <si>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</si>
  <si>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</si>
  <si>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3 место</t>
  </si>
  <si>
    <t>7-8</t>
  </si>
  <si>
    <t xml:space="preserve"> место</t>
  </si>
  <si>
    <t>гл.судья:</t>
  </si>
  <si>
    <t>гл.секретарь:</t>
  </si>
  <si>
    <t>судьи:</t>
  </si>
  <si>
    <t>врач:</t>
  </si>
  <si>
    <t>9-12</t>
  </si>
  <si>
    <t>13-16</t>
  </si>
  <si>
    <t>№пп</t>
  </si>
  <si>
    <t>Субъект</t>
  </si>
  <si>
    <t>СМИТ</t>
  </si>
  <si>
    <t>Алтайский</t>
  </si>
  <si>
    <t>Забайкальский</t>
  </si>
  <si>
    <t>Иркутская</t>
  </si>
  <si>
    <t>Кемеровская</t>
  </si>
  <si>
    <t>Красноярский</t>
  </si>
  <si>
    <t>Новосибирская</t>
  </si>
  <si>
    <t>Омская</t>
  </si>
  <si>
    <t>Р.Алтай</t>
  </si>
  <si>
    <t>Р.Бурятия</t>
  </si>
  <si>
    <t>Р.Хакасия</t>
  </si>
  <si>
    <t>Томская</t>
  </si>
  <si>
    <t>ХМАО</t>
  </si>
  <si>
    <t>у</t>
  </si>
  <si>
    <t>м</t>
  </si>
  <si>
    <t>АГАЕВ Магомедбаг Гасанович</t>
  </si>
  <si>
    <t>19.03.85, МС</t>
  </si>
  <si>
    <t>С-П</t>
  </si>
  <si>
    <t>Санкт-Петербург, ПР</t>
  </si>
  <si>
    <t>Коршунов А.И.</t>
  </si>
  <si>
    <t>ГОЛЬЦОВ Денис Александрович</t>
  </si>
  <si>
    <t>10.06.90, МС</t>
  </si>
  <si>
    <t>С-Петербург, МО</t>
  </si>
  <si>
    <t>ЕГОРОВ Виктор Анатольевич</t>
  </si>
  <si>
    <t>02.06.89, КМС</t>
  </si>
  <si>
    <t>СФО</t>
  </si>
  <si>
    <t>Р.Бурятия, У-Уде, МО</t>
  </si>
  <si>
    <t>Цыдыпов Б.В., Жигжитов Б.С.</t>
  </si>
  <si>
    <t>КНЯЗЕВ Алексей Дмитриевич</t>
  </si>
  <si>
    <t>23.09.75 МСМК</t>
  </si>
  <si>
    <t>Забайкальский  ПР</t>
  </si>
  <si>
    <t>Малышев ЭГ</t>
  </si>
  <si>
    <t>КРИГЕР Иван Иванович</t>
  </si>
  <si>
    <t>05.11.88, МС</t>
  </si>
  <si>
    <t>Костин А.В., Коршунов А.И.</t>
  </si>
  <si>
    <t>ПАВЛОВИЧ Сергей Владимирович</t>
  </si>
  <si>
    <t>13.05.92, МС</t>
  </si>
  <si>
    <t>МОС</t>
  </si>
  <si>
    <t>Москва, ПР.</t>
  </si>
  <si>
    <t>Гаджиев К.А., Елесин Н.А.</t>
  </si>
  <si>
    <t>КОВАЛЬЧУК Роман Валерьевич</t>
  </si>
  <si>
    <t>20.03.93, КМС</t>
  </si>
  <si>
    <t>ЮФО</t>
  </si>
  <si>
    <t>Р.Адыгея, Майкоп, Д</t>
  </si>
  <si>
    <t>Хапай А.Ю., Хапай Х.Ю.</t>
  </si>
  <si>
    <t>АНИСИМОВ Михаил Сергеевич</t>
  </si>
  <si>
    <t>16.07.82, КМС</t>
  </si>
  <si>
    <t>СЗФО</t>
  </si>
  <si>
    <t>Р.Карелия, ПР</t>
  </si>
  <si>
    <t>Шегельман И.Р.</t>
  </si>
  <si>
    <t>МАНУКЯН Гарник Норайрович</t>
  </si>
  <si>
    <t>28.04.92, 1р</t>
  </si>
  <si>
    <t>УФО</t>
  </si>
  <si>
    <t>Свердловкая, Екатеренбург, МО</t>
  </si>
  <si>
    <t>Макуха А.Н., Галиев В.З.</t>
  </si>
  <si>
    <t>МИШЕВ Тимофей Викторович</t>
  </si>
  <si>
    <t>16.07.94, МС</t>
  </si>
  <si>
    <t>Москва, ПР</t>
  </si>
  <si>
    <t>Журавицкий А.В., Журавицкий С.В.</t>
  </si>
  <si>
    <t>ГОНЧАРУК Роман Михайлович</t>
  </si>
  <si>
    <t>24.06.93, МС</t>
  </si>
  <si>
    <t>ХАРХАЧАЕВ Паша Шахрудинович</t>
  </si>
  <si>
    <t>26.04.95, КМС</t>
  </si>
  <si>
    <t>СКФО</t>
  </si>
  <si>
    <t>Р.Дагестан, Махачкала, ПР</t>
  </si>
  <si>
    <t>Магомедов М.А.</t>
  </si>
  <si>
    <t>АНДРЮШКО Дмитрий Васильевич</t>
  </si>
  <si>
    <t>20.01.92, КМС</t>
  </si>
  <si>
    <t>Красноярский, Красноярск, МО</t>
  </si>
  <si>
    <t>Трутнев П.В.Знаменский Г.Е.</t>
  </si>
  <si>
    <t>СИДЕЛЬНИКОВ Кирилл Юрьевич</t>
  </si>
  <si>
    <t>17.08.1988 ЗМС</t>
  </si>
  <si>
    <t>ЦФО</t>
  </si>
  <si>
    <t>Белгородская область, Старый оскол</t>
  </si>
  <si>
    <t>Воронов В.М., Мичков А.В.</t>
  </si>
  <si>
    <t>АРЕПЬЕВ Даниил Михайлович</t>
  </si>
  <si>
    <t>26.02.90, КМС</t>
  </si>
  <si>
    <t>Курская, Курск, МО</t>
  </si>
  <si>
    <t>Конорев В.Н.</t>
  </si>
  <si>
    <t>в.к. св100  кг.</t>
  </si>
  <si>
    <t>15 участников</t>
  </si>
  <si>
    <t>4:0</t>
  </si>
  <si>
    <t>3:1</t>
  </si>
  <si>
    <t>3:0</t>
  </si>
  <si>
    <t>13-15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</si>
</sst>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0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i/>
      <sz val="10"/>
      <name val="Arial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b/>
      <i/>
      <sz val="10"/>
      <color indexed="10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Narrow"/>
      <family val="2"/>
    </font>
    <font>
      <b/>
      <i/>
      <sz val="10"/>
      <color rgb="FFFF0000"/>
      <name val="Arial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 style="medium"/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0" fillId="0" borderId="0" xfId="0" applyNumberFormat="1" applyAlignment="1">
      <alignment/>
    </xf>
    <xf numFmtId="0" fontId="9" fillId="0" borderId="0" xfId="42" applyFon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42" applyFont="1" applyBorder="1" applyAlignment="1" applyProtection="1">
      <alignment horizontal="left"/>
      <protection/>
    </xf>
    <xf numFmtId="0" fontId="10" fillId="0" borderId="0" xfId="42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/>
      <protection hidden="1" locked="0"/>
    </xf>
    <xf numFmtId="0" fontId="1" fillId="0" borderId="14" xfId="0" applyFont="1" applyBorder="1" applyAlignment="1">
      <alignment horizontal="left" vertical="center"/>
    </xf>
    <xf numFmtId="0" fontId="1" fillId="0" borderId="15" xfId="0" applyNumberFormat="1" applyFont="1" applyFill="1" applyBorder="1" applyAlignment="1" applyProtection="1">
      <alignment horizontal="center"/>
      <protection hidden="1" locked="0"/>
    </xf>
    <xf numFmtId="0" fontId="1" fillId="33" borderId="15" xfId="0" applyNumberFormat="1" applyFont="1" applyFill="1" applyBorder="1" applyAlignment="1" applyProtection="1">
      <alignment horizontal="center"/>
      <protection hidden="1" locked="0"/>
    </xf>
    <xf numFmtId="0" fontId="1" fillId="0" borderId="16" xfId="0" applyFont="1" applyBorder="1" applyAlignment="1" applyProtection="1">
      <alignment horizontal="center"/>
      <protection hidden="1" locked="0"/>
    </xf>
    <xf numFmtId="0" fontId="1" fillId="0" borderId="17" xfId="0" applyFont="1" applyBorder="1" applyAlignment="1" applyProtection="1">
      <alignment horizontal="center"/>
      <protection hidden="1" locked="0"/>
    </xf>
    <xf numFmtId="0" fontId="57" fillId="0" borderId="17" xfId="0" applyFont="1" applyBorder="1" applyAlignment="1" applyProtection="1">
      <alignment horizontal="center"/>
      <protection hidden="1" locked="0"/>
    </xf>
    <xf numFmtId="0" fontId="57" fillId="0" borderId="15" xfId="0" applyNumberFormat="1" applyFont="1" applyFill="1" applyBorder="1" applyAlignment="1" applyProtection="1">
      <alignment horizontal="center"/>
      <protection hidden="1" locked="0"/>
    </xf>
    <xf numFmtId="0" fontId="57" fillId="33" borderId="15" xfId="0" applyNumberFormat="1" applyFont="1" applyFill="1" applyBorder="1" applyAlignment="1" applyProtection="1">
      <alignment horizontal="center"/>
      <protection hidden="1" locked="0"/>
    </xf>
    <xf numFmtId="0" fontId="57" fillId="0" borderId="16" xfId="0" applyFont="1" applyBorder="1" applyAlignment="1" applyProtection="1">
      <alignment horizontal="center"/>
      <protection hidden="1" locked="0"/>
    </xf>
    <xf numFmtId="0" fontId="57" fillId="0" borderId="1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57" fillId="0" borderId="16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2" fillId="34" borderId="18" xfId="0" applyNumberFormat="1" applyFont="1" applyFill="1" applyBorder="1" applyAlignment="1" applyProtection="1">
      <alignment horizontal="center" vertical="center"/>
      <protection hidden="1" locked="0"/>
    </xf>
    <xf numFmtId="0" fontId="57" fillId="33" borderId="14" xfId="0" applyFont="1" applyFill="1" applyBorder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/>
      <protection/>
    </xf>
    <xf numFmtId="0" fontId="58" fillId="0" borderId="0" xfId="0" applyFont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/>
      <protection hidden="1" locked="0"/>
    </xf>
    <xf numFmtId="0" fontId="0" fillId="35" borderId="0" xfId="0" applyFill="1" applyAlignment="1" applyProtection="1">
      <alignment/>
      <protection hidden="1"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0" fillId="33" borderId="0" xfId="0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" fillId="0" borderId="20" xfId="0" applyNumberFormat="1" applyFont="1" applyBorder="1" applyAlignment="1" applyProtection="1">
      <alignment horizontal="center" vertical="center" wrapText="1"/>
      <protection locked="0"/>
    </xf>
    <xf numFmtId="49" fontId="6" fillId="0" borderId="21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 applyProtection="1">
      <alignment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26" xfId="0" applyNumberFormat="1" applyFont="1" applyBorder="1" applyAlignment="1" applyProtection="1">
      <alignment horizontal="center" vertical="center" wrapText="1"/>
      <protection locked="0"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49" fontId="16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0" xfId="42" applyFont="1" applyAlignment="1" applyProtection="1">
      <alignment/>
      <protection locked="0"/>
    </xf>
    <xf numFmtId="0" fontId="1" fillId="0" borderId="0" xfId="42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hidden="1" locked="0"/>
    </xf>
    <xf numFmtId="0" fontId="5" fillId="33" borderId="0" xfId="42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right" vertical="center"/>
      <protection locked="0"/>
    </xf>
    <xf numFmtId="0" fontId="5" fillId="0" borderId="28" xfId="0" applyNumberFormat="1" applyFont="1" applyBorder="1" applyAlignment="1" applyProtection="1">
      <alignment horizontal="center" vertical="center"/>
      <protection locked="0"/>
    </xf>
    <xf numFmtId="0" fontId="5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8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6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left"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5" fillId="0" borderId="29" xfId="0" applyNumberFormat="1" applyFont="1" applyBorder="1" applyAlignment="1" applyProtection="1">
      <alignment horizontal="center" vertical="center"/>
      <protection locked="0"/>
    </xf>
    <xf numFmtId="0" fontId="6" fillId="0" borderId="0" xfId="42" applyFont="1" applyBorder="1" applyAlignment="1" applyProtection="1">
      <alignment horizontal="center" vertical="center" wrapText="1"/>
      <protection locked="0"/>
    </xf>
    <xf numFmtId="49" fontId="0" fillId="0" borderId="28" xfId="0" applyNumberFormat="1" applyFont="1" applyBorder="1" applyAlignment="1" applyProtection="1">
      <alignment horizontal="left" vertical="center"/>
      <protection locked="0"/>
    </xf>
    <xf numFmtId="49" fontId="5" fillId="0" borderId="30" xfId="0" applyNumberFormat="1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0" fillId="0" borderId="25" xfId="0" applyNumberFormat="1" applyFont="1" applyBorder="1" applyAlignment="1" applyProtection="1">
      <alignment horizontal="left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NumberFormat="1" applyFont="1" applyBorder="1" applyAlignment="1" applyProtection="1">
      <alignment vertical="center" wrapText="1"/>
      <protection locked="0"/>
    </xf>
    <xf numFmtId="49" fontId="0" fillId="0" borderId="31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42" applyFont="1" applyAlignment="1" applyProtection="1">
      <alignment/>
      <protection locked="0"/>
    </xf>
    <xf numFmtId="0" fontId="0" fillId="0" borderId="0" xfId="42" applyFont="1" applyBorder="1" applyAlignment="1" applyProtection="1">
      <alignment/>
      <protection locked="0"/>
    </xf>
    <xf numFmtId="0" fontId="0" fillId="0" borderId="0" xfId="42" applyFont="1" applyBorder="1" applyAlignment="1" applyProtection="1">
      <alignment horizontal="center"/>
      <protection locked="0"/>
    </xf>
    <xf numFmtId="0" fontId="0" fillId="0" borderId="0" xfId="42" applyNumberFormat="1" applyFont="1" applyBorder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 locked="0"/>
    </xf>
    <xf numFmtId="0" fontId="0" fillId="0" borderId="0" xfId="42" applyFont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20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0" fontId="6" fillId="0" borderId="32" xfId="0" applyFont="1" applyBorder="1" applyAlignment="1">
      <alignment horizontal="left" vertical="center" wrapText="1"/>
    </xf>
    <xf numFmtId="0" fontId="0" fillId="33" borderId="32" xfId="0" applyNumberFormat="1" applyFont="1" applyFill="1" applyBorder="1" applyAlignment="1">
      <alignment horizontal="center" vertical="center" wrapText="1"/>
    </xf>
    <xf numFmtId="49" fontId="0" fillId="33" borderId="32" xfId="0" applyNumberFormat="1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left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left" vertical="center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49" fontId="18" fillId="0" borderId="33" xfId="0" applyNumberFormat="1" applyFont="1" applyBorder="1" applyAlignment="1">
      <alignment horizontal="center" vertical="center" wrapText="1"/>
    </xf>
    <xf numFmtId="49" fontId="18" fillId="0" borderId="34" xfId="0" applyNumberFormat="1" applyFont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left" vertical="center" wrapText="1"/>
    </xf>
    <xf numFmtId="0" fontId="6" fillId="0" borderId="34" xfId="0" applyNumberFormat="1" applyFont="1" applyFill="1" applyBorder="1" applyAlignment="1">
      <alignment horizontal="left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14" fontId="6" fillId="0" borderId="33" xfId="0" applyNumberFormat="1" applyFont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left" vertical="center"/>
    </xf>
    <xf numFmtId="0" fontId="6" fillId="0" borderId="32" xfId="0" applyNumberFormat="1" applyFont="1" applyBorder="1" applyAlignment="1">
      <alignment horizontal="left" vertical="center" wrapText="1"/>
    </xf>
    <xf numFmtId="14" fontId="6" fillId="0" borderId="32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49" fontId="18" fillId="0" borderId="32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left" vertical="center"/>
    </xf>
    <xf numFmtId="49" fontId="6" fillId="0" borderId="34" xfId="0" applyNumberFormat="1" applyFont="1" applyBorder="1" applyAlignment="1">
      <alignment horizontal="left" vertical="center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5" fillId="33" borderId="32" xfId="42" applyFont="1" applyFill="1" applyBorder="1" applyAlignment="1" applyProtection="1">
      <alignment horizontal="center" vertical="center"/>
      <protection locked="0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32" xfId="0" applyBorder="1" applyAlignment="1">
      <alignment/>
    </xf>
    <xf numFmtId="0" fontId="7" fillId="0" borderId="35" xfId="0" applyNumberFormat="1" applyFont="1" applyBorder="1" applyAlignment="1" applyProtection="1">
      <alignment horizontal="center" vertical="center" wrapText="1"/>
      <protection locked="0"/>
    </xf>
    <xf numFmtId="0" fontId="7" fillId="0" borderId="3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6" fillId="0" borderId="14" xfId="42" applyFont="1" applyBorder="1" applyAlignment="1" applyProtection="1">
      <alignment horizontal="center" vertical="center" wrapText="1"/>
      <protection locked="0"/>
    </xf>
    <xf numFmtId="0" fontId="6" fillId="0" borderId="31" xfId="42" applyFont="1" applyBorder="1" applyAlignment="1" applyProtection="1">
      <alignment horizontal="center" vertical="center" wrapText="1"/>
      <protection locked="0"/>
    </xf>
    <xf numFmtId="0" fontId="6" fillId="0" borderId="37" xfId="42" applyFont="1" applyBorder="1" applyAlignment="1" applyProtection="1">
      <alignment horizontal="center" vertical="center" wrapText="1"/>
      <protection locked="0"/>
    </xf>
    <xf numFmtId="0" fontId="6" fillId="0" borderId="38" xfId="42" applyFont="1" applyBorder="1" applyAlignment="1" applyProtection="1">
      <alignment horizontal="center" vertical="center" wrapText="1"/>
      <protection locked="0"/>
    </xf>
    <xf numFmtId="0" fontId="6" fillId="0" borderId="19" xfId="42" applyFont="1" applyBorder="1" applyAlignment="1" applyProtection="1">
      <alignment horizontal="center" vertical="center" wrapText="1"/>
      <protection locked="0"/>
    </xf>
    <xf numFmtId="0" fontId="6" fillId="0" borderId="39" xfId="42" applyFont="1" applyBorder="1" applyAlignment="1" applyProtection="1">
      <alignment horizontal="center" vertical="center" wrapText="1"/>
      <protection locked="0"/>
    </xf>
    <xf numFmtId="0" fontId="6" fillId="0" borderId="40" xfId="42" applyFont="1" applyBorder="1" applyAlignment="1" applyProtection="1">
      <alignment horizontal="center" vertical="center" wrapText="1"/>
      <protection locked="0"/>
    </xf>
    <xf numFmtId="0" fontId="6" fillId="0" borderId="41" xfId="42" applyFont="1" applyBorder="1" applyAlignment="1" applyProtection="1">
      <alignment horizontal="center" vertical="center" wrapText="1"/>
      <protection locked="0"/>
    </xf>
    <xf numFmtId="0" fontId="6" fillId="0" borderId="42" xfId="42" applyFont="1" applyBorder="1" applyAlignment="1" applyProtection="1">
      <alignment horizontal="center" vertical="center" wrapText="1"/>
      <protection locked="0"/>
    </xf>
    <xf numFmtId="0" fontId="6" fillId="0" borderId="43" xfId="42" applyFont="1" applyBorder="1" applyAlignment="1" applyProtection="1">
      <alignment horizontal="center" vertical="center" wrapText="1"/>
      <protection locked="0"/>
    </xf>
    <xf numFmtId="0" fontId="6" fillId="0" borderId="29" xfId="42" applyFont="1" applyBorder="1" applyAlignment="1" applyProtection="1">
      <alignment horizontal="center" vertical="center" wrapText="1"/>
      <protection locked="0"/>
    </xf>
    <xf numFmtId="0" fontId="6" fillId="0" borderId="44" xfId="42" applyFont="1" applyBorder="1" applyAlignment="1" applyProtection="1">
      <alignment horizontal="center" vertical="center" wrapText="1"/>
      <protection locked="0"/>
    </xf>
    <xf numFmtId="0" fontId="6" fillId="0" borderId="13" xfId="42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7" fillId="0" borderId="45" xfId="0" applyNumberFormat="1" applyFont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 wrapText="1"/>
      <protection locked="0"/>
    </xf>
    <xf numFmtId="0" fontId="7" fillId="0" borderId="47" xfId="0" applyNumberFormat="1" applyFont="1" applyBorder="1" applyAlignment="1" applyProtection="1">
      <alignment horizontal="center" vertical="center" wrapText="1"/>
      <protection locked="0"/>
    </xf>
    <xf numFmtId="0" fontId="7" fillId="0" borderId="48" xfId="0" applyNumberFormat="1" applyFont="1" applyBorder="1" applyAlignment="1" applyProtection="1">
      <alignment horizontal="center" vertical="center" wrapText="1"/>
      <protection locked="0"/>
    </xf>
    <xf numFmtId="0" fontId="7" fillId="0" borderId="49" xfId="0" applyNumberFormat="1" applyFont="1" applyBorder="1" applyAlignment="1" applyProtection="1">
      <alignment horizontal="center" vertical="center" wrapText="1"/>
      <protection locked="0"/>
    </xf>
    <xf numFmtId="0" fontId="7" fillId="0" borderId="50" xfId="0" applyNumberFormat="1" applyFont="1" applyBorder="1" applyAlignment="1" applyProtection="1">
      <alignment horizontal="center" vertical="center" wrapText="1"/>
      <protection locked="0"/>
    </xf>
    <xf numFmtId="0" fontId="1" fillId="0" borderId="0" xfId="42" applyFont="1" applyAlignment="1" applyProtection="1">
      <alignment horizontal="left"/>
      <protection locked="0"/>
    </xf>
    <xf numFmtId="0" fontId="0" fillId="0" borderId="41" xfId="0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6" fillId="0" borderId="13" xfId="42" applyFont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42" applyFont="1" applyBorder="1" applyAlignment="1" applyProtection="1">
      <alignment horizontal="center" vertical="center" wrapText="1"/>
      <protection locked="0"/>
    </xf>
    <xf numFmtId="0" fontId="7" fillId="0" borderId="52" xfId="0" applyNumberFormat="1" applyFont="1" applyBorder="1" applyAlignment="1" applyProtection="1">
      <alignment horizontal="center" vertical="center" wrapText="1"/>
      <protection locked="0"/>
    </xf>
    <xf numFmtId="0" fontId="7" fillId="0" borderId="53" xfId="0" applyNumberFormat="1" applyFont="1" applyBorder="1" applyAlignment="1" applyProtection="1">
      <alignment horizontal="center" vertical="center" wrapText="1"/>
      <protection locked="0"/>
    </xf>
    <xf numFmtId="0" fontId="7" fillId="0" borderId="54" xfId="0" applyNumberFormat="1" applyFont="1" applyBorder="1" applyAlignment="1" applyProtection="1">
      <alignment horizontal="center" vertical="center" wrapText="1"/>
      <protection locked="0"/>
    </xf>
    <xf numFmtId="0" fontId="7" fillId="0" borderId="55" xfId="0" applyNumberFormat="1" applyFont="1" applyBorder="1" applyAlignment="1" applyProtection="1">
      <alignment horizontal="center" vertical="center" wrapText="1"/>
      <protection locked="0"/>
    </xf>
    <xf numFmtId="0" fontId="7" fillId="0" borderId="56" xfId="0" applyNumberFormat="1" applyFont="1" applyBorder="1" applyAlignment="1" applyProtection="1">
      <alignment horizontal="center" vertical="center" wrapText="1"/>
      <protection locked="0"/>
    </xf>
    <xf numFmtId="0" fontId="7" fillId="0" borderId="57" xfId="0" applyNumberFormat="1" applyFont="1" applyBorder="1" applyAlignment="1" applyProtection="1">
      <alignment horizontal="center" vertical="center" wrapText="1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29" xfId="0" applyNumberFormat="1" applyFont="1" applyBorder="1" applyAlignment="1" applyProtection="1">
      <alignment horizontal="center" vertical="center"/>
      <protection locked="0"/>
    </xf>
    <xf numFmtId="0" fontId="6" fillId="0" borderId="58" xfId="42" applyFont="1" applyBorder="1" applyAlignment="1" applyProtection="1">
      <alignment horizontal="left" vertical="center" wrapText="1"/>
      <protection locked="0"/>
    </xf>
    <xf numFmtId="0" fontId="6" fillId="0" borderId="21" xfId="42" applyFont="1" applyBorder="1" applyAlignment="1" applyProtection="1">
      <alignment horizontal="left" vertical="center" wrapText="1"/>
      <protection locked="0"/>
    </xf>
    <xf numFmtId="0" fontId="6" fillId="0" borderId="20" xfId="42" applyFont="1" applyBorder="1" applyAlignment="1" applyProtection="1">
      <alignment horizontal="left" vertical="center" wrapText="1"/>
      <protection locked="0"/>
    </xf>
    <xf numFmtId="0" fontId="6" fillId="0" borderId="17" xfId="42" applyFont="1" applyBorder="1" applyAlignment="1" applyProtection="1">
      <alignment horizontal="left" vertical="center" wrapText="1"/>
      <protection locked="0"/>
    </xf>
    <xf numFmtId="0" fontId="6" fillId="0" borderId="51" xfId="0" applyFont="1" applyBorder="1" applyAlignment="1" applyProtection="1">
      <alignment horizontal="left" vertical="center" wrapText="1"/>
      <protection locked="0"/>
    </xf>
    <xf numFmtId="0" fontId="5" fillId="34" borderId="59" xfId="42" applyFont="1" applyFill="1" applyBorder="1" applyAlignment="1" applyProtection="1">
      <alignment horizontal="center" vertical="center"/>
      <protection locked="0"/>
    </xf>
    <xf numFmtId="0" fontId="5" fillId="34" borderId="60" xfId="42" applyFont="1" applyFill="1" applyBorder="1" applyAlignment="1" applyProtection="1">
      <alignment horizontal="center" vertical="center"/>
      <protection locked="0"/>
    </xf>
    <xf numFmtId="0" fontId="5" fillId="34" borderId="61" xfId="42" applyFont="1" applyFill="1" applyBorder="1" applyAlignment="1" applyProtection="1">
      <alignment horizontal="center" vertical="center"/>
      <protection locked="0"/>
    </xf>
    <xf numFmtId="0" fontId="0" fillId="0" borderId="0" xfId="42" applyFont="1" applyBorder="1" applyAlignment="1" applyProtection="1">
      <alignment horizontal="center" vertical="center" wrapText="1"/>
      <protection locked="0"/>
    </xf>
    <xf numFmtId="0" fontId="19" fillId="0" borderId="59" xfId="42" applyFont="1" applyBorder="1" applyAlignment="1" applyProtection="1">
      <alignment horizontal="center" vertical="center"/>
      <protection locked="0"/>
    </xf>
    <xf numFmtId="0" fontId="19" fillId="0" borderId="60" xfId="0" applyFont="1" applyBorder="1" applyAlignment="1" applyProtection="1">
      <alignment horizontal="center" vertical="center"/>
      <protection locked="0"/>
    </xf>
    <xf numFmtId="0" fontId="19" fillId="0" borderId="61" xfId="0" applyFont="1" applyBorder="1" applyAlignment="1" applyProtection="1">
      <alignment horizontal="center" vertical="center"/>
      <protection locked="0"/>
    </xf>
    <xf numFmtId="0" fontId="0" fillId="0" borderId="59" xfId="0" applyFont="1" applyBorder="1" applyAlignment="1" applyProtection="1">
      <alignment horizontal="center" vertical="center"/>
      <protection locked="0"/>
    </xf>
    <xf numFmtId="0" fontId="0" fillId="0" borderId="60" xfId="0" applyFont="1" applyBorder="1" applyAlignment="1" applyProtection="1">
      <alignment horizontal="center" vertical="center"/>
      <protection locked="0"/>
    </xf>
    <xf numFmtId="0" fontId="0" fillId="0" borderId="6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62" xfId="0" applyFont="1" applyBorder="1" applyAlignment="1" applyProtection="1">
      <alignment horizontal="center" vertical="center" wrapText="1"/>
      <protection locked="0"/>
    </xf>
    <xf numFmtId="0" fontId="3" fillId="0" borderId="63" xfId="0" applyFont="1" applyBorder="1" applyAlignment="1" applyProtection="1">
      <alignment horizontal="center" vertical="center" wrapText="1"/>
      <protection locked="0"/>
    </xf>
    <xf numFmtId="0" fontId="6" fillId="0" borderId="64" xfId="42" applyFont="1" applyBorder="1" applyAlignment="1" applyProtection="1">
      <alignment horizontal="left" vertical="center" wrapText="1"/>
      <protection locked="0"/>
    </xf>
    <xf numFmtId="0" fontId="3" fillId="0" borderId="65" xfId="0" applyFont="1" applyBorder="1" applyAlignment="1" applyProtection="1">
      <alignment horizontal="center" vertical="center" wrapText="1"/>
      <protection locked="0"/>
    </xf>
    <xf numFmtId="0" fontId="7" fillId="0" borderId="66" xfId="0" applyNumberFormat="1" applyFont="1" applyBorder="1" applyAlignment="1" applyProtection="1">
      <alignment horizontal="center" vertical="center" wrapText="1"/>
      <protection locked="0"/>
    </xf>
    <xf numFmtId="0" fontId="7" fillId="0" borderId="67" xfId="0" applyNumberFormat="1" applyFont="1" applyBorder="1" applyAlignment="1" applyProtection="1">
      <alignment horizontal="center" vertical="center" wrapText="1"/>
      <protection locked="0"/>
    </xf>
    <xf numFmtId="0" fontId="7" fillId="0" borderId="68" xfId="0" applyNumberFormat="1" applyFont="1" applyBorder="1" applyAlignment="1" applyProtection="1">
      <alignment horizontal="center" vertical="center" wrapText="1"/>
      <protection locked="0"/>
    </xf>
    <xf numFmtId="0" fontId="7" fillId="0" borderId="69" xfId="0" applyNumberFormat="1" applyFont="1" applyBorder="1" applyAlignment="1" applyProtection="1">
      <alignment horizontal="center" vertical="center" wrapText="1"/>
      <protection locked="0"/>
    </xf>
    <xf numFmtId="0" fontId="7" fillId="0" borderId="70" xfId="0" applyNumberFormat="1" applyFont="1" applyBorder="1" applyAlignment="1" applyProtection="1">
      <alignment horizontal="center" vertical="center" wrapText="1"/>
      <protection locked="0"/>
    </xf>
    <xf numFmtId="0" fontId="7" fillId="0" borderId="7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5" fillId="0" borderId="0" xfId="42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22" xfId="42" applyFont="1" applyFill="1" applyBorder="1" applyAlignment="1" applyProtection="1">
      <alignment horizontal="center" vertical="center" wrapText="1"/>
      <protection/>
    </xf>
    <xf numFmtId="0" fontId="6" fillId="0" borderId="23" xfId="42" applyFont="1" applyFill="1" applyBorder="1" applyAlignment="1" applyProtection="1">
      <alignment horizontal="center" vertical="center" wrapText="1"/>
      <protection/>
    </xf>
    <xf numFmtId="0" fontId="6" fillId="0" borderId="24" xfId="42" applyFont="1" applyFill="1" applyBorder="1" applyAlignment="1" applyProtection="1">
      <alignment horizontal="center" vertical="center" wrapText="1"/>
      <protection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64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left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59" fillId="0" borderId="33" xfId="0" applyNumberFormat="1" applyFont="1" applyBorder="1" applyAlignment="1">
      <alignment horizontal="center" vertical="center" wrapText="1"/>
    </xf>
    <xf numFmtId="0" fontId="59" fillId="0" borderId="34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0" fontId="13" fillId="0" borderId="79" xfId="0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74" xfId="42" applyFont="1" applyFill="1" applyBorder="1" applyAlignment="1" applyProtection="1">
      <alignment horizontal="center" vertical="center" wrapText="1"/>
      <protection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83" xfId="0" applyNumberFormat="1" applyFont="1" applyBorder="1" applyAlignment="1">
      <alignment horizontal="left" vertical="center" wrapText="1"/>
    </xf>
    <xf numFmtId="0" fontId="6" fillId="0" borderId="27" xfId="0" applyNumberFormat="1" applyFont="1" applyBorder="1" applyAlignment="1">
      <alignment horizontal="left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left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10" fillId="34" borderId="59" xfId="42" applyFont="1" applyFill="1" applyBorder="1" applyAlignment="1" applyProtection="1">
      <alignment horizontal="center" vertical="center" wrapText="1"/>
      <protection/>
    </xf>
    <xf numFmtId="0" fontId="10" fillId="34" borderId="60" xfId="42" applyFont="1" applyFill="1" applyBorder="1" applyAlignment="1" applyProtection="1">
      <alignment horizontal="center" vertical="center" wrapText="1"/>
      <protection/>
    </xf>
    <xf numFmtId="0" fontId="10" fillId="34" borderId="61" xfId="42" applyFont="1" applyFill="1" applyBorder="1" applyAlignment="1" applyProtection="1">
      <alignment horizontal="center" vertical="center" wrapText="1"/>
      <protection/>
    </xf>
    <xf numFmtId="0" fontId="0" fillId="0" borderId="19" xfId="42" applyFont="1" applyBorder="1" applyAlignment="1" applyProtection="1">
      <alignment horizontal="center" vertical="center"/>
      <protection/>
    </xf>
    <xf numFmtId="0" fontId="59" fillId="0" borderId="11" xfId="0" applyNumberFormat="1" applyFont="1" applyBorder="1" applyAlignment="1">
      <alignment horizontal="center" vertical="center" wrapText="1"/>
    </xf>
    <xf numFmtId="0" fontId="59" fillId="0" borderId="82" xfId="0" applyNumberFormat="1" applyFont="1" applyBorder="1" applyAlignment="1">
      <alignment horizontal="center" vertical="center" wrapText="1"/>
    </xf>
    <xf numFmtId="0" fontId="6" fillId="0" borderId="72" xfId="42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36" borderId="18" xfId="0" applyFont="1" applyFill="1" applyBorder="1" applyAlignment="1" applyProtection="1">
      <alignment horizontal="center" vertical="center"/>
      <protection hidden="1" locked="0"/>
    </xf>
    <xf numFmtId="0" fontId="2" fillId="36" borderId="87" xfId="0" applyFont="1" applyFill="1" applyBorder="1" applyAlignment="1" applyProtection="1">
      <alignment horizontal="center" vertical="center"/>
      <protection hidden="1" locked="0"/>
    </xf>
    <xf numFmtId="0" fontId="2" fillId="36" borderId="88" xfId="0" applyFont="1" applyFill="1" applyBorder="1" applyAlignment="1" applyProtection="1">
      <alignment horizontal="center" vertical="center"/>
      <protection hidden="1" locked="0"/>
    </xf>
    <xf numFmtId="0" fontId="17" fillId="0" borderId="20" xfId="0" applyFont="1" applyBorder="1" applyAlignment="1" applyProtection="1">
      <alignment horizontal="center" vertical="center" textRotation="90" wrapText="1"/>
      <protection/>
    </xf>
    <xf numFmtId="0" fontId="17" fillId="0" borderId="21" xfId="0" applyFont="1" applyBorder="1" applyAlignment="1" applyProtection="1">
      <alignment horizontal="center" vertical="center" textRotation="90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vertical="center" textRotation="90" wrapText="1"/>
      <protection/>
    </xf>
    <xf numFmtId="0" fontId="17" fillId="0" borderId="21" xfId="0" applyFont="1" applyBorder="1" applyAlignment="1" applyProtection="1">
      <alignment vertical="center" textRotation="90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1</xdr:col>
      <xdr:colOff>228600</xdr:colOff>
      <xdr:row>1</xdr:row>
      <xdr:rowOff>180975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23253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19</xdr:col>
      <xdr:colOff>152400</xdr:colOff>
      <xdr:row>0</xdr:row>
      <xdr:rowOff>285750</xdr:rowOff>
    </xdr:from>
    <xdr:to>
      <xdr:col>19</xdr:col>
      <xdr:colOff>600075</xdr:colOff>
      <xdr:row>2</xdr:row>
      <xdr:rowOff>200025</xdr:rowOff>
    </xdr:to>
    <xdr:pic>
      <xdr:nvPicPr>
        <xdr:cNvPr id="3" name="Рисунок 3" descr="http://www.heraldicum.ru/russia/subjects/towns/images/petroz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01025" y="285750"/>
          <a:ext cx="447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1</xdr:col>
      <xdr:colOff>485775</xdr:colOff>
      <xdr:row>0</xdr:row>
      <xdr:rowOff>600075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1975" y="38100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47625</xdr:rowOff>
    </xdr:from>
    <xdr:to>
      <xdr:col>0</xdr:col>
      <xdr:colOff>485775</xdr:colOff>
      <xdr:row>0</xdr:row>
      <xdr:rowOff>619125</xdr:rowOff>
    </xdr:to>
    <xdr:pic>
      <xdr:nvPicPr>
        <xdr:cNvPr id="2" name="Рисунок 3" descr="http://www.heraldicum.ru/russia/subjects/towns/images/petroz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7625"/>
          <a:ext cx="447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БОЕВОМУ САМБО </v>
          </cell>
        </row>
        <row r="3">
          <cell r="A3" t="str">
            <v>9-12 февраля 2016.                                                         г.Петрозаводск</v>
          </cell>
        </row>
        <row r="6">
          <cell r="A6" t="str">
            <v>Гл. судья, судья МК</v>
          </cell>
        </row>
        <row r="7">
          <cell r="G7" t="str">
            <v>Н.Н.Малышев</v>
          </cell>
        </row>
        <row r="8">
          <cell r="A8" t="str">
            <v>Гл. секретарь, судья МК</v>
          </cell>
          <cell r="G8" t="str">
            <v>/г.Дубна/</v>
          </cell>
        </row>
        <row r="9">
          <cell r="G9" t="str">
            <v>С.М.Трескин</v>
          </cell>
        </row>
        <row r="10">
          <cell r="G10" t="str">
            <v>/г.Бийск/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P49"/>
  <sheetViews>
    <sheetView zoomScalePageLayoutView="0" workbookViewId="0" topLeftCell="A25">
      <selection activeCell="B7" sqref="B7:H36"/>
    </sheetView>
  </sheetViews>
  <sheetFormatPr defaultColWidth="9.140625" defaultRowHeight="12.75"/>
  <cols>
    <col min="1" max="1" width="5.28125" style="0" customWidth="1"/>
    <col min="2" max="2" width="4.8515625" style="0" customWidth="1"/>
    <col min="3" max="3" width="25.8515625" style="0" customWidth="1"/>
    <col min="4" max="4" width="12.28125" style="0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188" t="s">
        <v>15</v>
      </c>
      <c r="B1" s="188"/>
      <c r="C1" s="188"/>
      <c r="D1" s="188"/>
      <c r="E1" s="188"/>
      <c r="F1" s="188"/>
      <c r="G1" s="188"/>
      <c r="H1" s="188"/>
    </row>
    <row r="2" spans="1:16" ht="29.25" customHeight="1">
      <c r="A2" s="187" t="str">
        <f>HYPERLINK('[1]реквизиты'!$A$2)</f>
        <v>Чемпионат России по БОЕВОМУ САМБО </v>
      </c>
      <c r="B2" s="187"/>
      <c r="C2" s="187"/>
      <c r="D2" s="187"/>
      <c r="E2" s="187"/>
      <c r="F2" s="187"/>
      <c r="G2" s="187"/>
      <c r="H2" s="187"/>
      <c r="I2" s="79"/>
      <c r="J2" s="79"/>
      <c r="K2" s="79"/>
      <c r="L2" s="79"/>
      <c r="M2" s="79"/>
      <c r="N2" s="79"/>
      <c r="O2" s="79"/>
      <c r="P2" s="79"/>
    </row>
    <row r="3" spans="1:7" ht="12.75" customHeight="1">
      <c r="A3" s="177" t="str">
        <f>HYPERLINK('[1]реквизиты'!$A$3)</f>
        <v>9-12 февраля 2016.                                                         г.Петрозаводск</v>
      </c>
      <c r="B3" s="177"/>
      <c r="C3" s="177"/>
      <c r="D3" s="177"/>
      <c r="E3" s="177"/>
      <c r="F3" s="177"/>
      <c r="G3" s="177"/>
    </row>
    <row r="4" spans="4:5" ht="12.75" customHeight="1">
      <c r="D4" s="175" t="s">
        <v>109</v>
      </c>
      <c r="E4" s="176"/>
    </row>
    <row r="5" spans="1:8" ht="12.75" customHeight="1">
      <c r="A5" s="144" t="s">
        <v>9</v>
      </c>
      <c r="B5" s="156" t="s">
        <v>4</v>
      </c>
      <c r="C5" s="144" t="s">
        <v>5</v>
      </c>
      <c r="D5" s="144" t="s">
        <v>6</v>
      </c>
      <c r="E5" s="179" t="s">
        <v>7</v>
      </c>
      <c r="F5" s="180"/>
      <c r="G5" s="144" t="s">
        <v>10</v>
      </c>
      <c r="H5" s="144" t="s">
        <v>8</v>
      </c>
    </row>
    <row r="6" spans="1:8" ht="12.75">
      <c r="A6" s="145"/>
      <c r="B6" s="157"/>
      <c r="C6" s="145"/>
      <c r="D6" s="145"/>
      <c r="E6" s="181"/>
      <c r="F6" s="182"/>
      <c r="G6" s="145"/>
      <c r="H6" s="145"/>
    </row>
    <row r="7" spans="1:8" ht="12.75" customHeight="1">
      <c r="A7" s="133">
        <v>1</v>
      </c>
      <c r="B7" s="135">
        <v>1</v>
      </c>
      <c r="C7" s="158" t="s">
        <v>80</v>
      </c>
      <c r="D7" s="160" t="s">
        <v>81</v>
      </c>
      <c r="E7" s="139" t="s">
        <v>82</v>
      </c>
      <c r="F7" s="185" t="s">
        <v>83</v>
      </c>
      <c r="G7" s="183"/>
      <c r="H7" s="158" t="s">
        <v>84</v>
      </c>
    </row>
    <row r="8" spans="1:8" ht="12.75" customHeight="1">
      <c r="A8" s="134"/>
      <c r="B8" s="135"/>
      <c r="C8" s="159"/>
      <c r="D8" s="161"/>
      <c r="E8" s="139"/>
      <c r="F8" s="186"/>
      <c r="G8" s="184"/>
      <c r="H8" s="159"/>
    </row>
    <row r="9" spans="1:8" ht="12.75" customHeight="1">
      <c r="A9" s="133">
        <v>2</v>
      </c>
      <c r="B9" s="135">
        <v>2</v>
      </c>
      <c r="C9" s="158" t="s">
        <v>91</v>
      </c>
      <c r="D9" s="160" t="s">
        <v>92</v>
      </c>
      <c r="E9" s="164" t="s">
        <v>93</v>
      </c>
      <c r="F9" s="137" t="s">
        <v>94</v>
      </c>
      <c r="G9" s="165"/>
      <c r="H9" s="158" t="s">
        <v>95</v>
      </c>
    </row>
    <row r="10" spans="1:8" ht="15" customHeight="1">
      <c r="A10" s="134"/>
      <c r="B10" s="135"/>
      <c r="C10" s="159"/>
      <c r="D10" s="161"/>
      <c r="E10" s="164"/>
      <c r="F10" s="137"/>
      <c r="G10" s="166"/>
      <c r="H10" s="159"/>
    </row>
    <row r="11" spans="1:8" ht="12.75" customHeight="1">
      <c r="A11" s="133">
        <v>3</v>
      </c>
      <c r="B11" s="135">
        <v>3</v>
      </c>
      <c r="C11" s="142" t="s">
        <v>100</v>
      </c>
      <c r="D11" s="144" t="s">
        <v>101</v>
      </c>
      <c r="E11" s="150" t="s">
        <v>102</v>
      </c>
      <c r="F11" s="142" t="s">
        <v>103</v>
      </c>
      <c r="G11" s="153"/>
      <c r="H11" s="142" t="s">
        <v>104</v>
      </c>
    </row>
    <row r="12" spans="1:8" ht="15" customHeight="1">
      <c r="A12" s="134"/>
      <c r="B12" s="135"/>
      <c r="C12" s="143"/>
      <c r="D12" s="145"/>
      <c r="E12" s="150"/>
      <c r="F12" s="143"/>
      <c r="G12" s="154"/>
      <c r="H12" s="143"/>
    </row>
    <row r="13" spans="1:8" ht="15" customHeight="1">
      <c r="A13" s="133">
        <v>4</v>
      </c>
      <c r="B13" s="135">
        <v>4</v>
      </c>
      <c r="C13" s="146" t="s">
        <v>50</v>
      </c>
      <c r="D13" s="148" t="s">
        <v>51</v>
      </c>
      <c r="E13" s="150" t="s">
        <v>47</v>
      </c>
      <c r="F13" s="146" t="s">
        <v>52</v>
      </c>
      <c r="G13" s="162"/>
      <c r="H13" s="146" t="s">
        <v>49</v>
      </c>
    </row>
    <row r="14" spans="1:8" ht="15.75" customHeight="1">
      <c r="A14" s="134"/>
      <c r="B14" s="135"/>
      <c r="C14" s="147"/>
      <c r="D14" s="149"/>
      <c r="E14" s="150"/>
      <c r="F14" s="147"/>
      <c r="G14" s="163"/>
      <c r="H14" s="147"/>
    </row>
    <row r="15" spans="1:8" ht="12.75" customHeight="1">
      <c r="A15" s="133">
        <v>5</v>
      </c>
      <c r="B15" s="133">
        <v>5</v>
      </c>
      <c r="C15" s="142" t="s">
        <v>45</v>
      </c>
      <c r="D15" s="144" t="s">
        <v>46</v>
      </c>
      <c r="E15" s="164" t="s">
        <v>47</v>
      </c>
      <c r="F15" s="142" t="s">
        <v>48</v>
      </c>
      <c r="G15" s="165"/>
      <c r="H15" s="142" t="s">
        <v>49</v>
      </c>
    </row>
    <row r="16" spans="1:8" ht="15" customHeight="1">
      <c r="A16" s="134"/>
      <c r="B16" s="133"/>
      <c r="C16" s="143"/>
      <c r="D16" s="145"/>
      <c r="E16" s="164"/>
      <c r="F16" s="143"/>
      <c r="G16" s="166"/>
      <c r="H16" s="143"/>
    </row>
    <row r="17" spans="1:8" ht="12.75" customHeight="1">
      <c r="A17" s="133">
        <v>6</v>
      </c>
      <c r="B17" s="135">
        <v>6</v>
      </c>
      <c r="C17" s="142" t="s">
        <v>58</v>
      </c>
      <c r="D17" s="171" t="s">
        <v>59</v>
      </c>
      <c r="E17" s="150" t="s">
        <v>55</v>
      </c>
      <c r="F17" s="142" t="s">
        <v>60</v>
      </c>
      <c r="G17" s="153"/>
      <c r="H17" s="142" t="s">
        <v>61</v>
      </c>
    </row>
    <row r="18" spans="1:8" ht="15" customHeight="1">
      <c r="A18" s="134"/>
      <c r="B18" s="135"/>
      <c r="C18" s="143"/>
      <c r="D18" s="145"/>
      <c r="E18" s="150"/>
      <c r="F18" s="143"/>
      <c r="G18" s="154"/>
      <c r="H18" s="143"/>
    </row>
    <row r="19" spans="1:8" ht="12.75" customHeight="1">
      <c r="A19" s="133">
        <v>7</v>
      </c>
      <c r="B19" s="135">
        <v>7</v>
      </c>
      <c r="C19" s="142" t="s">
        <v>75</v>
      </c>
      <c r="D19" s="171" t="s">
        <v>76</v>
      </c>
      <c r="E19" s="139" t="s">
        <v>77</v>
      </c>
      <c r="F19" s="167" t="s">
        <v>78</v>
      </c>
      <c r="G19" s="169"/>
      <c r="H19" s="167" t="s">
        <v>79</v>
      </c>
    </row>
    <row r="20" spans="1:8" ht="15" customHeight="1">
      <c r="A20" s="134"/>
      <c r="B20" s="135"/>
      <c r="C20" s="143"/>
      <c r="D20" s="145"/>
      <c r="E20" s="139"/>
      <c r="F20" s="168"/>
      <c r="G20" s="170"/>
      <c r="H20" s="168"/>
    </row>
    <row r="21" spans="1:8" ht="12.75" customHeight="1">
      <c r="A21" s="133">
        <v>8</v>
      </c>
      <c r="B21" s="135">
        <v>8</v>
      </c>
      <c r="C21" s="140" t="s">
        <v>105</v>
      </c>
      <c r="D21" s="139" t="s">
        <v>106</v>
      </c>
      <c r="E21" s="139" t="s">
        <v>102</v>
      </c>
      <c r="F21" s="140" t="s">
        <v>107</v>
      </c>
      <c r="G21" s="140"/>
      <c r="H21" s="140" t="s">
        <v>108</v>
      </c>
    </row>
    <row r="22" spans="1:8" ht="15" customHeight="1">
      <c r="A22" s="134"/>
      <c r="B22" s="135"/>
      <c r="C22" s="140"/>
      <c r="D22" s="139"/>
      <c r="E22" s="139"/>
      <c r="F22" s="140"/>
      <c r="G22" s="140"/>
      <c r="H22" s="140"/>
    </row>
    <row r="23" spans="1:8" ht="12.75" customHeight="1">
      <c r="A23" s="133">
        <v>9</v>
      </c>
      <c r="B23" s="133">
        <v>9</v>
      </c>
      <c r="C23" s="132" t="s">
        <v>65</v>
      </c>
      <c r="D23" s="141" t="s">
        <v>66</v>
      </c>
      <c r="E23" s="139" t="s">
        <v>67</v>
      </c>
      <c r="F23" s="132" t="s">
        <v>68</v>
      </c>
      <c r="G23" s="151"/>
      <c r="H23" s="132" t="s">
        <v>69</v>
      </c>
    </row>
    <row r="24" spans="1:8" ht="15" customHeight="1">
      <c r="A24" s="134"/>
      <c r="B24" s="133"/>
      <c r="C24" s="132"/>
      <c r="D24" s="141"/>
      <c r="E24" s="139"/>
      <c r="F24" s="132"/>
      <c r="G24" s="151"/>
      <c r="H24" s="132"/>
    </row>
    <row r="25" spans="1:8" ht="12.75" customHeight="1">
      <c r="A25" s="133">
        <v>10</v>
      </c>
      <c r="B25" s="136">
        <v>10</v>
      </c>
      <c r="C25" s="137" t="s">
        <v>85</v>
      </c>
      <c r="D25" s="138" t="s">
        <v>86</v>
      </c>
      <c r="E25" s="132" t="s">
        <v>67</v>
      </c>
      <c r="F25" s="132" t="s">
        <v>87</v>
      </c>
      <c r="G25" s="152"/>
      <c r="H25" s="132" t="s">
        <v>88</v>
      </c>
    </row>
    <row r="26" spans="1:8" ht="15" customHeight="1">
      <c r="A26" s="134"/>
      <c r="B26" s="136"/>
      <c r="C26" s="137"/>
      <c r="D26" s="138"/>
      <c r="E26" s="132"/>
      <c r="F26" s="132"/>
      <c r="G26" s="152"/>
      <c r="H26" s="132"/>
    </row>
    <row r="27" spans="1:8" ht="12.75" customHeight="1">
      <c r="A27" s="133">
        <v>11</v>
      </c>
      <c r="B27" s="133">
        <v>11</v>
      </c>
      <c r="C27" s="172" t="s">
        <v>70</v>
      </c>
      <c r="D27" s="164" t="s">
        <v>71</v>
      </c>
      <c r="E27" s="141" t="s">
        <v>72</v>
      </c>
      <c r="F27" s="173" t="s">
        <v>73</v>
      </c>
      <c r="G27" s="151"/>
      <c r="H27" s="132" t="s">
        <v>74</v>
      </c>
    </row>
    <row r="28" spans="1:8" ht="15" customHeight="1">
      <c r="A28" s="134"/>
      <c r="B28" s="133"/>
      <c r="C28" s="172"/>
      <c r="D28" s="164"/>
      <c r="E28" s="141"/>
      <c r="F28" s="173"/>
      <c r="G28" s="151"/>
      <c r="H28" s="132"/>
    </row>
    <row r="29" spans="1:8" ht="12.75" customHeight="1">
      <c r="A29" s="133">
        <v>12</v>
      </c>
      <c r="B29" s="136">
        <v>12</v>
      </c>
      <c r="C29" s="137" t="s">
        <v>89</v>
      </c>
      <c r="D29" s="138" t="s">
        <v>90</v>
      </c>
      <c r="E29" s="132" t="s">
        <v>67</v>
      </c>
      <c r="F29" s="132" t="s">
        <v>87</v>
      </c>
      <c r="G29" s="152"/>
      <c r="H29" s="132" t="s">
        <v>88</v>
      </c>
    </row>
    <row r="30" spans="1:8" ht="15" customHeight="1">
      <c r="A30" s="134"/>
      <c r="B30" s="136"/>
      <c r="C30" s="137"/>
      <c r="D30" s="138"/>
      <c r="E30" s="132"/>
      <c r="F30" s="132"/>
      <c r="G30" s="152"/>
      <c r="H30" s="132"/>
    </row>
    <row r="31" spans="1:8" ht="15.75" customHeight="1">
      <c r="A31" s="133">
        <v>13</v>
      </c>
      <c r="B31" s="135">
        <v>13</v>
      </c>
      <c r="C31" s="132" t="s">
        <v>53</v>
      </c>
      <c r="D31" s="174" t="s">
        <v>54</v>
      </c>
      <c r="E31" s="150" t="s">
        <v>55</v>
      </c>
      <c r="F31" s="132" t="s">
        <v>56</v>
      </c>
      <c r="G31" s="151"/>
      <c r="H31" s="132" t="s">
        <v>57</v>
      </c>
    </row>
    <row r="32" spans="1:8" ht="15" customHeight="1">
      <c r="A32" s="134"/>
      <c r="B32" s="135"/>
      <c r="C32" s="132"/>
      <c r="D32" s="141"/>
      <c r="E32" s="150"/>
      <c r="F32" s="132"/>
      <c r="G32" s="151"/>
      <c r="H32" s="189"/>
    </row>
    <row r="33" spans="1:8" ht="12.75" customHeight="1">
      <c r="A33" s="133">
        <v>14</v>
      </c>
      <c r="B33" s="135">
        <v>14</v>
      </c>
      <c r="C33" s="140" t="s">
        <v>62</v>
      </c>
      <c r="D33" s="139" t="s">
        <v>63</v>
      </c>
      <c r="E33" s="150" t="s">
        <v>47</v>
      </c>
      <c r="F33" s="173" t="s">
        <v>52</v>
      </c>
      <c r="G33" s="178"/>
      <c r="H33" s="173" t="s">
        <v>64</v>
      </c>
    </row>
    <row r="34" spans="1:8" ht="15" customHeight="1">
      <c r="A34" s="134"/>
      <c r="B34" s="135"/>
      <c r="C34" s="140"/>
      <c r="D34" s="139"/>
      <c r="E34" s="150"/>
      <c r="F34" s="173"/>
      <c r="G34" s="178"/>
      <c r="H34" s="173"/>
    </row>
    <row r="35" spans="1:8" ht="12.75">
      <c r="A35" s="133">
        <v>15</v>
      </c>
      <c r="B35" s="135">
        <v>15</v>
      </c>
      <c r="C35" s="132" t="s">
        <v>96</v>
      </c>
      <c r="D35" s="174" t="s">
        <v>97</v>
      </c>
      <c r="E35" s="150" t="s">
        <v>55</v>
      </c>
      <c r="F35" s="132" t="s">
        <v>98</v>
      </c>
      <c r="G35" s="151"/>
      <c r="H35" s="132" t="s">
        <v>99</v>
      </c>
    </row>
    <row r="36" spans="1:8" ht="15" customHeight="1">
      <c r="A36" s="134"/>
      <c r="B36" s="135"/>
      <c r="C36" s="132"/>
      <c r="D36" s="141"/>
      <c r="E36" s="150"/>
      <c r="F36" s="132"/>
      <c r="G36" s="151"/>
      <c r="H36" s="132"/>
    </row>
    <row r="37" spans="1:8" ht="12.75" customHeight="1">
      <c r="A37" s="141">
        <v>16</v>
      </c>
      <c r="B37" s="155"/>
      <c r="C37" s="142"/>
      <c r="D37" s="142"/>
      <c r="E37" s="142"/>
      <c r="F37" s="142"/>
      <c r="G37" s="142"/>
      <c r="H37" s="142"/>
    </row>
    <row r="38" spans="1:8" ht="15" customHeight="1">
      <c r="A38" s="141"/>
      <c r="B38" s="155"/>
      <c r="C38" s="143"/>
      <c r="D38" s="143"/>
      <c r="E38" s="143"/>
      <c r="F38" s="143"/>
      <c r="G38" s="143"/>
      <c r="H38" s="143"/>
    </row>
    <row r="39" ht="15.75" customHeight="1"/>
    <row r="41" spans="1:6" ht="12.75">
      <c r="A41" s="15" t="s">
        <v>22</v>
      </c>
      <c r="C41" s="3"/>
      <c r="D41" s="3"/>
      <c r="E41" s="4">
        <f>HYPERLINK('[1]реквизиты'!$G$20)</f>
      </c>
      <c r="F41" s="5">
        <f>HYPERLINK('[1]реквизиты'!$G$21)</f>
      </c>
    </row>
    <row r="42" spans="3:5" ht="12.75">
      <c r="C42" s="3"/>
      <c r="D42" s="3"/>
      <c r="E42" s="1"/>
    </row>
    <row r="43" spans="1:6" ht="12.75">
      <c r="A43" s="15" t="s">
        <v>23</v>
      </c>
      <c r="C43" s="3"/>
      <c r="D43" s="3"/>
      <c r="E43" s="4">
        <f>HYPERLINK('[1]реквизиты'!$G$22)</f>
      </c>
      <c r="F43" s="6">
        <f>HYPERLINK('[1]реквизиты'!$G$23)</f>
      </c>
    </row>
    <row r="44" spans="3:5" ht="12.75">
      <c r="C44" s="3"/>
      <c r="D44" s="3"/>
      <c r="E44" s="1"/>
    </row>
    <row r="45" ht="12.75">
      <c r="A45" s="15" t="s">
        <v>24</v>
      </c>
    </row>
    <row r="49" ht="12.75">
      <c r="A49" s="15" t="s">
        <v>25</v>
      </c>
    </row>
  </sheetData>
  <sheetProtection/>
  <mergeCells count="139"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9:A10"/>
    <mergeCell ref="B9:B10"/>
    <mergeCell ref="C9:C10"/>
    <mergeCell ref="D9:D10"/>
    <mergeCell ref="A7:A8"/>
    <mergeCell ref="B7:B8"/>
    <mergeCell ref="A5:A6"/>
    <mergeCell ref="B5:B6"/>
    <mergeCell ref="C5:C6"/>
    <mergeCell ref="D5:D6"/>
    <mergeCell ref="C7:C8"/>
    <mergeCell ref="D7:D8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  <col min="25" max="26" width="3.140625" style="0" hidden="1" customWidth="1"/>
    <col min="27" max="27" width="3.8515625" style="0" hidden="1" customWidth="1"/>
  </cols>
  <sheetData>
    <row r="1" spans="1:28" ht="24" customHeight="1">
      <c r="A1" s="266" t="s">
        <v>12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37"/>
      <c r="W1" s="37"/>
      <c r="X1" s="39"/>
      <c r="Y1" s="37"/>
      <c r="Z1" s="37"/>
      <c r="AA1" s="37"/>
      <c r="AB1" s="37"/>
    </row>
    <row r="2" spans="1:28" ht="27.75" customHeight="1" thickBot="1">
      <c r="A2" s="267" t="s">
        <v>13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37"/>
      <c r="W2" s="37"/>
      <c r="X2" s="39"/>
      <c r="Y2" s="37"/>
      <c r="Z2" s="37"/>
      <c r="AA2" s="37"/>
      <c r="AB2" s="37"/>
    </row>
    <row r="3" spans="1:28" ht="33" customHeight="1" thickBot="1">
      <c r="A3" s="37"/>
      <c r="B3" s="37"/>
      <c r="C3" s="237" t="str">
        <f>HYPERLINK('[1]реквизиты'!$A$2)</f>
        <v>Чемпионат России по БОЕВОМУ САМБО </v>
      </c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9"/>
      <c r="S3" s="37"/>
      <c r="T3" s="37"/>
      <c r="U3" s="37"/>
      <c r="V3" s="37"/>
      <c r="W3" s="37"/>
      <c r="X3" s="39"/>
      <c r="Y3" s="37"/>
      <c r="Z3" s="37"/>
      <c r="AA3" s="37"/>
      <c r="AB3" s="37"/>
    </row>
    <row r="4" spans="1:28" ht="15.75" customHeight="1" thickBot="1">
      <c r="A4" s="46"/>
      <c r="B4" s="46"/>
      <c r="C4" s="240" t="str">
        <f>HYPERLINK('[1]реквизиты'!$A$3)</f>
        <v>9-12 февраля 2016.                                                         г.Петрозаводск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46"/>
      <c r="T4" s="37"/>
      <c r="U4" s="37"/>
      <c r="V4" s="37"/>
      <c r="W4" s="37"/>
      <c r="X4" s="39"/>
      <c r="Y4" s="37"/>
      <c r="Z4" s="37"/>
      <c r="AA4" s="37"/>
      <c r="AB4" s="37"/>
    </row>
    <row r="5" spans="1:28" ht="20.25" customHeight="1" thickBot="1">
      <c r="A5" s="80"/>
      <c r="B5" s="80"/>
      <c r="C5" s="80"/>
      <c r="D5" s="80"/>
      <c r="E5" s="80"/>
      <c r="F5" s="80"/>
      <c r="G5" s="80"/>
      <c r="H5" s="80"/>
      <c r="I5" s="47"/>
      <c r="J5" s="241" t="str">
        <f>HYPERLINK('пр.взв.'!D4)</f>
        <v>в.к. св100  кг.</v>
      </c>
      <c r="K5" s="242"/>
      <c r="L5" s="243"/>
      <c r="M5" s="244" t="s">
        <v>110</v>
      </c>
      <c r="N5" s="245"/>
      <c r="O5" s="246"/>
      <c r="P5" s="80"/>
      <c r="Q5" s="80"/>
      <c r="R5" s="80"/>
      <c r="S5" s="80"/>
      <c r="T5" s="80"/>
      <c r="U5" s="80"/>
      <c r="V5" s="80"/>
      <c r="W5" s="48"/>
      <c r="X5" s="38"/>
      <c r="Y5" s="38"/>
      <c r="Z5" s="38"/>
      <c r="AA5" s="39"/>
      <c r="AB5" s="39"/>
    </row>
    <row r="6" spans="1:28" ht="18" customHeight="1" thickBot="1">
      <c r="A6" s="247" t="s">
        <v>0</v>
      </c>
      <c r="B6" s="247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49"/>
      <c r="S6" s="49"/>
      <c r="T6" s="80"/>
      <c r="U6" s="49" t="s">
        <v>1</v>
      </c>
      <c r="V6" s="80"/>
      <c r="W6" s="50"/>
      <c r="X6" s="40"/>
      <c r="Y6" s="40"/>
      <c r="Z6" s="38"/>
      <c r="AA6" s="39"/>
      <c r="AB6" s="39"/>
    </row>
    <row r="7" spans="1:29" ht="12.75" customHeight="1" thickBot="1">
      <c r="A7" s="248">
        <v>1</v>
      </c>
      <c r="B7" s="206" t="str">
        <f>VLOOKUP(A7,'пр.взв.'!B7:C38,2,FALSE)</f>
        <v>МАНУКЯН Гарник Норайрович</v>
      </c>
      <c r="C7" s="206" t="str">
        <f>VLOOKUP(A7,'пр.взв.'!B7:F38,3,FALSE)</f>
        <v>28.04.92, 1р</v>
      </c>
      <c r="D7" s="206" t="str">
        <f>VLOOKUP(A7,'пр.взв.'!B$1:G$36,4,FALSE)</f>
        <v>УФО</v>
      </c>
      <c r="E7" s="51"/>
      <c r="F7" s="81"/>
      <c r="G7" s="81"/>
      <c r="H7" s="81"/>
      <c r="I7" s="82" t="s">
        <v>17</v>
      </c>
      <c r="J7" s="81"/>
      <c r="K7" s="81"/>
      <c r="L7" s="81"/>
      <c r="M7" s="52"/>
      <c r="N7" s="52"/>
      <c r="O7" s="52"/>
      <c r="P7" s="52"/>
      <c r="Q7" s="57"/>
      <c r="R7" s="206" t="str">
        <f>VLOOKUP(U7,'пр.взв.'!B7:E38,2,FALSE)</f>
        <v>ХАРХАЧАЕВ Паша Шахрудинович</v>
      </c>
      <c r="S7" s="234" t="str">
        <f>VLOOKUP(U7,'пр.взв.'!B7:E38,3,FALSE)</f>
        <v>26.04.95, КМС</v>
      </c>
      <c r="T7" s="234" t="str">
        <f>VLOOKUP(U7,'пр.взв.'!B$7:E$38,4,FALSE)</f>
        <v>СКФО</v>
      </c>
      <c r="U7" s="259">
        <v>2</v>
      </c>
      <c r="V7" s="80"/>
      <c r="W7" s="50"/>
      <c r="X7" s="40"/>
      <c r="Y7" s="40"/>
      <c r="Z7" s="38"/>
      <c r="AA7" s="38"/>
      <c r="AB7" s="38"/>
      <c r="AC7" s="1"/>
    </row>
    <row r="8" spans="1:29" ht="12.75" customHeight="1">
      <c r="A8" s="249"/>
      <c r="B8" s="207"/>
      <c r="C8" s="207"/>
      <c r="D8" s="207"/>
      <c r="E8" s="53">
        <v>9</v>
      </c>
      <c r="F8" s="52"/>
      <c r="G8" s="52"/>
      <c r="H8" s="83">
        <v>4</v>
      </c>
      <c r="I8" s="252" t="str">
        <f>VLOOKUP(H8,'пр.взв.'!B7:E38,2,FALSE)</f>
        <v>ГОЛЬЦОВ Денис Александрович</v>
      </c>
      <c r="J8" s="253"/>
      <c r="K8" s="253"/>
      <c r="L8" s="253"/>
      <c r="M8" s="254"/>
      <c r="N8" s="52"/>
      <c r="O8" s="52"/>
      <c r="P8" s="52"/>
      <c r="Q8" s="53">
        <v>2</v>
      </c>
      <c r="R8" s="207"/>
      <c r="S8" s="235"/>
      <c r="T8" s="235"/>
      <c r="U8" s="260"/>
      <c r="V8" s="80"/>
      <c r="W8" s="50"/>
      <c r="X8" s="40"/>
      <c r="Y8" s="40"/>
      <c r="Z8" s="38"/>
      <c r="AA8" s="38"/>
      <c r="AB8" s="38"/>
      <c r="AC8" s="1"/>
    </row>
    <row r="9" spans="1:29" ht="12.75" customHeight="1" thickBot="1">
      <c r="A9" s="249">
        <v>9</v>
      </c>
      <c r="B9" s="235" t="str">
        <f>VLOOKUP(A9,'пр.взв.'!B9:C40,2,FALSE)</f>
        <v>ПАВЛОВИЧ Сергей Владимирович</v>
      </c>
      <c r="C9" s="235" t="str">
        <f>VLOOKUP(A9,'пр.взв.'!B7:F38,3,FALSE)</f>
        <v>13.05.92, МС</v>
      </c>
      <c r="D9" s="235" t="str">
        <f>VLOOKUP(A9,'пр.взв.'!B$1:G$36,4,FALSE)</f>
        <v>МОС</v>
      </c>
      <c r="E9" s="54" t="s">
        <v>111</v>
      </c>
      <c r="F9" s="84"/>
      <c r="G9" s="52"/>
      <c r="H9" s="81"/>
      <c r="I9" s="255"/>
      <c r="J9" s="256"/>
      <c r="K9" s="256"/>
      <c r="L9" s="256"/>
      <c r="M9" s="257"/>
      <c r="N9" s="52"/>
      <c r="O9" s="52"/>
      <c r="P9" s="55"/>
      <c r="Q9" s="54" t="s">
        <v>111</v>
      </c>
      <c r="R9" s="235" t="str">
        <f>VLOOKUP(U9,'пр.взв.'!B9:E40,2,FALSE)</f>
        <v>МИШЕВ Тимофей Викторович</v>
      </c>
      <c r="S9" s="235" t="str">
        <f>VLOOKUP(U9,'пр.взв.'!B9:E40,3,FALSE)</f>
        <v>16.07.94, МС</v>
      </c>
      <c r="T9" s="250" t="str">
        <f>VLOOKUP(U9,'пр.взв.'!B$7:E$38,4,FALSE)</f>
        <v>МОС</v>
      </c>
      <c r="U9" s="260">
        <v>10</v>
      </c>
      <c r="V9" s="80"/>
      <c r="W9" s="50"/>
      <c r="X9" s="40"/>
      <c r="Y9" s="40"/>
      <c r="Z9" s="38"/>
      <c r="AA9" s="38"/>
      <c r="AB9" s="38"/>
      <c r="AC9" s="1"/>
    </row>
    <row r="10" spans="1:29" ht="12.75" customHeight="1" thickBot="1">
      <c r="A10" s="251"/>
      <c r="B10" s="236"/>
      <c r="C10" s="236"/>
      <c r="D10" s="236"/>
      <c r="E10" s="56"/>
      <c r="F10" s="85"/>
      <c r="G10" s="53">
        <v>5</v>
      </c>
      <c r="H10" s="81"/>
      <c r="I10" s="57"/>
      <c r="J10" s="57"/>
      <c r="K10" s="131" t="s">
        <v>111</v>
      </c>
      <c r="L10" s="57"/>
      <c r="M10" s="52"/>
      <c r="N10" s="52"/>
      <c r="O10" s="53">
        <v>6</v>
      </c>
      <c r="P10" s="58"/>
      <c r="Q10" s="57"/>
      <c r="R10" s="236"/>
      <c r="S10" s="236"/>
      <c r="T10" s="235"/>
      <c r="U10" s="261"/>
      <c r="V10" s="80"/>
      <c r="W10" s="50"/>
      <c r="X10" s="41"/>
      <c r="Y10" s="40"/>
      <c r="Z10" s="38"/>
      <c r="AA10" s="38"/>
      <c r="AB10" s="38"/>
      <c r="AC10" s="1"/>
    </row>
    <row r="11" spans="1:29" ht="12.75" customHeight="1" thickBot="1">
      <c r="A11" s="248">
        <v>5</v>
      </c>
      <c r="B11" s="206" t="str">
        <f>VLOOKUP(A11,'пр.взв.'!B11:C42,2,FALSE)</f>
        <v>АГАЕВ Магомедбаг Гасанович</v>
      </c>
      <c r="C11" s="206" t="str">
        <f>VLOOKUP(A11,'пр.взв.'!B7:E38,3,FALSE)</f>
        <v>19.03.85, МС</v>
      </c>
      <c r="D11" s="206" t="str">
        <f>VLOOKUP(A11,'пр.взв.'!B$1:G$36,4,FALSE)</f>
        <v>С-П</v>
      </c>
      <c r="E11" s="51"/>
      <c r="F11" s="85"/>
      <c r="G11" s="54" t="s">
        <v>112</v>
      </c>
      <c r="H11" s="86"/>
      <c r="I11" s="81"/>
      <c r="J11" s="57"/>
      <c r="K11" s="57"/>
      <c r="L11" s="57"/>
      <c r="M11" s="52"/>
      <c r="N11" s="55"/>
      <c r="O11" s="54" t="s">
        <v>111</v>
      </c>
      <c r="P11" s="58"/>
      <c r="Q11" s="57"/>
      <c r="R11" s="206" t="str">
        <f>VLOOKUP(U11,'пр.взв.'!B11:E42,2,FALSE)</f>
        <v>КНЯЗЕВ Алексей Дмитриевич</v>
      </c>
      <c r="S11" s="206" t="str">
        <f>VLOOKUP(U11,'пр.взв.'!B11:E42,3,FALSE)</f>
        <v>23.09.75 МСМК</v>
      </c>
      <c r="T11" s="234" t="str">
        <f>VLOOKUP(U11,'пр.взв.'!B$7:E$38,4,FALSE)</f>
        <v>СФО</v>
      </c>
      <c r="U11" s="262">
        <v>6</v>
      </c>
      <c r="V11" s="80"/>
      <c r="W11" s="50"/>
      <c r="X11" s="41"/>
      <c r="Y11" s="40"/>
      <c r="Z11" s="38"/>
      <c r="AA11" s="38"/>
      <c r="AB11" s="38"/>
      <c r="AC11" s="1"/>
    </row>
    <row r="12" spans="1:29" ht="12.75" customHeight="1">
      <c r="A12" s="249"/>
      <c r="B12" s="207"/>
      <c r="C12" s="207"/>
      <c r="D12" s="207"/>
      <c r="E12" s="53">
        <v>5</v>
      </c>
      <c r="F12" s="87"/>
      <c r="G12" s="52"/>
      <c r="H12" s="88"/>
      <c r="I12" s="81"/>
      <c r="J12" s="192" t="s">
        <v>11</v>
      </c>
      <c r="K12" s="192"/>
      <c r="L12" s="192"/>
      <c r="M12" s="52"/>
      <c r="N12" s="58"/>
      <c r="O12" s="52"/>
      <c r="P12" s="59"/>
      <c r="Q12" s="53">
        <v>6</v>
      </c>
      <c r="R12" s="207"/>
      <c r="S12" s="207"/>
      <c r="T12" s="235"/>
      <c r="U12" s="260"/>
      <c r="V12" s="80"/>
      <c r="W12" s="50"/>
      <c r="X12" s="41"/>
      <c r="Y12" s="40"/>
      <c r="Z12" s="38"/>
      <c r="AA12" s="38"/>
      <c r="AB12" s="38"/>
      <c r="AC12" s="1"/>
    </row>
    <row r="13" spans="1:29" ht="12.75" customHeight="1" thickBot="1">
      <c r="A13" s="249">
        <v>13</v>
      </c>
      <c r="B13" s="235" t="str">
        <f>VLOOKUP(A13,'пр.взв.'!B7:C38,2,FALSE)</f>
        <v>ЕГОРОВ Виктор Анатольевич</v>
      </c>
      <c r="C13" s="235" t="str">
        <f>VLOOKUP(A13,'пр.взв.'!B7:E38,3,FALSE)</f>
        <v>02.06.89, КМС</v>
      </c>
      <c r="D13" s="235" t="str">
        <f>VLOOKUP(A13,'пр.взв.'!B$1:G$36,4,FALSE)</f>
        <v>СФО</v>
      </c>
      <c r="E13" s="54" t="s">
        <v>111</v>
      </c>
      <c r="F13" s="52"/>
      <c r="G13" s="52"/>
      <c r="H13" s="88"/>
      <c r="I13" s="60"/>
      <c r="J13" s="61"/>
      <c r="K13" s="61"/>
      <c r="L13" s="81"/>
      <c r="M13" s="52"/>
      <c r="N13" s="58"/>
      <c r="O13" s="52"/>
      <c r="P13" s="52"/>
      <c r="Q13" s="54" t="s">
        <v>111</v>
      </c>
      <c r="R13" s="235" t="str">
        <f>VLOOKUP(U13,'пр.взв.'!B13:E44,2,FALSE)</f>
        <v>КРИГЕР Иван Иванович</v>
      </c>
      <c r="S13" s="235" t="str">
        <f>VLOOKUP(U13,'пр.взв.'!B13:E44,3,FALSE)</f>
        <v>05.11.88, МС</v>
      </c>
      <c r="T13" s="250" t="str">
        <f>VLOOKUP(U13,'пр.взв.'!B$7:E$38,4,FALSE)</f>
        <v>С-П</v>
      </c>
      <c r="U13" s="260">
        <v>14</v>
      </c>
      <c r="V13" s="80"/>
      <c r="W13" s="50"/>
      <c r="X13" s="41"/>
      <c r="Y13" s="40"/>
      <c r="Z13" s="38"/>
      <c r="AA13" s="38"/>
      <c r="AB13" s="38"/>
      <c r="AC13" s="1"/>
    </row>
    <row r="14" spans="1:29" ht="12.75" customHeight="1" thickBot="1">
      <c r="A14" s="251"/>
      <c r="B14" s="236"/>
      <c r="C14" s="236"/>
      <c r="D14" s="236"/>
      <c r="E14" s="56"/>
      <c r="F14" s="258"/>
      <c r="G14" s="258"/>
      <c r="H14" s="88"/>
      <c r="I14" s="53">
        <v>3</v>
      </c>
      <c r="J14" s="81"/>
      <c r="K14" s="81"/>
      <c r="L14" s="81"/>
      <c r="M14" s="53">
        <v>4</v>
      </c>
      <c r="N14" s="60"/>
      <c r="O14" s="52"/>
      <c r="P14" s="52"/>
      <c r="Q14" s="57"/>
      <c r="R14" s="236"/>
      <c r="S14" s="236"/>
      <c r="T14" s="235"/>
      <c r="U14" s="263"/>
      <c r="V14" s="80"/>
      <c r="W14" s="50"/>
      <c r="X14" s="41"/>
      <c r="Y14" s="40"/>
      <c r="Z14" s="38"/>
      <c r="AA14" s="38"/>
      <c r="AB14" s="38"/>
      <c r="AC14" s="1"/>
    </row>
    <row r="15" spans="1:29" ht="12.75" customHeight="1" thickBot="1">
      <c r="A15" s="248">
        <v>3</v>
      </c>
      <c r="B15" s="206" t="str">
        <f>VLOOKUP(A15,'пр.взв.'!B7:C38,2,FALSE)</f>
        <v>СИДЕЛЬНИКОВ Кирилл Юрьевич</v>
      </c>
      <c r="C15" s="206" t="str">
        <f>VLOOKUP(A15,'пр.взв.'!B7:E38,3,FALSE)</f>
        <v>17.08.1988 ЗМС</v>
      </c>
      <c r="D15" s="206" t="str">
        <f>VLOOKUP(A15,'пр.взв.'!B$1:G$36,4,FALSE)</f>
        <v>ЦФО</v>
      </c>
      <c r="E15" s="51"/>
      <c r="F15" s="52"/>
      <c r="G15" s="52"/>
      <c r="H15" s="88"/>
      <c r="I15" s="54" t="s">
        <v>111</v>
      </c>
      <c r="J15" s="81"/>
      <c r="K15" s="81"/>
      <c r="L15" s="81"/>
      <c r="M15" s="54" t="s">
        <v>111</v>
      </c>
      <c r="N15" s="58"/>
      <c r="O15" s="52"/>
      <c r="P15" s="52"/>
      <c r="Q15" s="57"/>
      <c r="R15" s="206" t="str">
        <f>VLOOKUP(U15,'пр.взв.'!B7:C38,2,FALSE)</f>
        <v>ГОЛЬЦОВ Денис Александрович</v>
      </c>
      <c r="S15" s="206" t="str">
        <f>VLOOKUP(U15,'пр.взв.'!B7:E38,3,FALSE)</f>
        <v>10.06.90, МС</v>
      </c>
      <c r="T15" s="234" t="str">
        <f>VLOOKUP(U15,'пр.взв.'!B$7:E$38,4,FALSE)</f>
        <v>С-П</v>
      </c>
      <c r="U15" s="259">
        <v>4</v>
      </c>
      <c r="V15" s="80"/>
      <c r="W15" s="50"/>
      <c r="X15" s="41"/>
      <c r="Y15" s="40"/>
      <c r="Z15" s="38"/>
      <c r="AA15" s="38"/>
      <c r="AB15" s="38"/>
      <c r="AC15" s="1"/>
    </row>
    <row r="16" spans="1:29" ht="12.75" customHeight="1">
      <c r="A16" s="249"/>
      <c r="B16" s="207"/>
      <c r="C16" s="207"/>
      <c r="D16" s="207"/>
      <c r="E16" s="53">
        <v>3</v>
      </c>
      <c r="F16" s="52"/>
      <c r="G16" s="52"/>
      <c r="H16" s="88"/>
      <c r="I16" s="81"/>
      <c r="J16" s="81"/>
      <c r="K16" s="81"/>
      <c r="L16" s="81"/>
      <c r="M16" s="52"/>
      <c r="N16" s="58"/>
      <c r="O16" s="52"/>
      <c r="P16" s="52"/>
      <c r="Q16" s="53">
        <v>4</v>
      </c>
      <c r="R16" s="207"/>
      <c r="S16" s="207"/>
      <c r="T16" s="235"/>
      <c r="U16" s="260"/>
      <c r="V16" s="80"/>
      <c r="W16" s="50"/>
      <c r="X16" s="41"/>
      <c r="Y16" s="40"/>
      <c r="Z16" s="38"/>
      <c r="AA16" s="38"/>
      <c r="AB16" s="38"/>
      <c r="AC16" s="1"/>
    </row>
    <row r="17" spans="1:29" ht="12.75" customHeight="1" thickBot="1">
      <c r="A17" s="249">
        <v>11</v>
      </c>
      <c r="B17" s="235" t="str">
        <f>VLOOKUP(A17,'пр.взв.'!B17:C47,2,FALSE)</f>
        <v>КОВАЛЬЧУК Роман Валерьевич</v>
      </c>
      <c r="C17" s="235" t="str">
        <f>VLOOKUP(A17,'пр.взв.'!B7:E38,3,FALSE)</f>
        <v>20.03.93, КМС</v>
      </c>
      <c r="D17" s="235" t="str">
        <f>VLOOKUP(A17,'пр.взв.'!B$1:G$36,4,FALSE)</f>
        <v>ЮФО</v>
      </c>
      <c r="E17" s="54" t="s">
        <v>111</v>
      </c>
      <c r="F17" s="84"/>
      <c r="G17" s="52"/>
      <c r="H17" s="88"/>
      <c r="I17" s="81"/>
      <c r="J17" s="81"/>
      <c r="K17" s="81"/>
      <c r="L17" s="81"/>
      <c r="M17" s="52"/>
      <c r="N17" s="58"/>
      <c r="O17" s="52"/>
      <c r="P17" s="55"/>
      <c r="Q17" s="54" t="s">
        <v>111</v>
      </c>
      <c r="R17" s="235" t="str">
        <f>VLOOKUP(U17,'пр.взв.'!B17:E47,2,FALSE)</f>
        <v>ГОНЧАРУК Роман Михайлович</v>
      </c>
      <c r="S17" s="235" t="str">
        <f>VLOOKUP(U17,'пр.взв.'!B7:E47,3,FALSE)</f>
        <v>24.06.93, МС</v>
      </c>
      <c r="T17" s="250" t="str">
        <f>VLOOKUP(U17,'пр.взв.'!B$7:E$38,4,FALSE)</f>
        <v>МОС</v>
      </c>
      <c r="U17" s="260">
        <v>12</v>
      </c>
      <c r="V17" s="80"/>
      <c r="W17" s="50"/>
      <c r="X17" s="41"/>
      <c r="Y17" s="40"/>
      <c r="Z17" s="38"/>
      <c r="AA17" s="38"/>
      <c r="AB17" s="38"/>
      <c r="AC17" s="1"/>
    </row>
    <row r="18" spans="1:28" ht="12.75" customHeight="1" thickBot="1">
      <c r="A18" s="251"/>
      <c r="B18" s="236"/>
      <c r="C18" s="236"/>
      <c r="D18" s="236"/>
      <c r="E18" s="56"/>
      <c r="F18" s="85"/>
      <c r="G18" s="53">
        <v>3</v>
      </c>
      <c r="H18" s="89"/>
      <c r="I18" s="82" t="s">
        <v>18</v>
      </c>
      <c r="J18" s="81"/>
      <c r="K18" s="81"/>
      <c r="L18" s="81"/>
      <c r="M18" s="52"/>
      <c r="N18" s="59"/>
      <c r="O18" s="53">
        <v>4</v>
      </c>
      <c r="P18" s="58"/>
      <c r="Q18" s="57"/>
      <c r="R18" s="236"/>
      <c r="S18" s="236"/>
      <c r="T18" s="235"/>
      <c r="U18" s="261"/>
      <c r="V18" s="80"/>
      <c r="W18" s="50"/>
      <c r="X18" s="41"/>
      <c r="Y18" s="40"/>
      <c r="Z18" s="38"/>
      <c r="AA18" s="39"/>
      <c r="AB18" s="39"/>
    </row>
    <row r="19" spans="1:28" ht="12.75" customHeight="1" thickBot="1">
      <c r="A19" s="248">
        <v>7</v>
      </c>
      <c r="B19" s="206" t="str">
        <f>VLOOKUP(A19,'пр.взв.'!B19:C49,2,FALSE)</f>
        <v>АНИСИМОВ Михаил Сергеевич</v>
      </c>
      <c r="C19" s="206" t="str">
        <f>VLOOKUP(A19,'пр.взв.'!B7:E38,3,FALSE)</f>
        <v>16.07.82, КМС</v>
      </c>
      <c r="D19" s="206" t="str">
        <f>VLOOKUP(A19,'пр.взв.'!B$1:G$36,4,FALSE)</f>
        <v>СЗФО</v>
      </c>
      <c r="E19" s="51"/>
      <c r="F19" s="62"/>
      <c r="G19" s="54" t="s">
        <v>111</v>
      </c>
      <c r="H19" s="83"/>
      <c r="I19" s="57"/>
      <c r="J19" s="57"/>
      <c r="K19" s="57"/>
      <c r="L19" s="57"/>
      <c r="M19" s="57"/>
      <c r="N19" s="52"/>
      <c r="O19" s="54" t="s">
        <v>111</v>
      </c>
      <c r="P19" s="58"/>
      <c r="Q19" s="57"/>
      <c r="R19" s="206" t="str">
        <f>VLOOKUP(U19,'пр.взв.'!B19:E49,2,FALSE)</f>
        <v>АРЕПЬЕВ Даниил Михайлович</v>
      </c>
      <c r="S19" s="206" t="str">
        <f>VLOOKUP(U19,'пр.взв.'!B19:E49,3,FALSE)</f>
        <v>26.02.90, КМС</v>
      </c>
      <c r="T19" s="234" t="str">
        <f>VLOOKUP(U19,'пр.взв.'!B$7:E$38,4,FALSE)</f>
        <v>ЦФО</v>
      </c>
      <c r="U19" s="264">
        <v>8</v>
      </c>
      <c r="V19" s="80"/>
      <c r="W19" s="48"/>
      <c r="X19" s="42"/>
      <c r="Y19" s="38"/>
      <c r="Z19" s="38"/>
      <c r="AA19" s="39"/>
      <c r="AB19" s="39"/>
    </row>
    <row r="20" spans="1:28" ht="12.75" customHeight="1">
      <c r="A20" s="249"/>
      <c r="B20" s="207"/>
      <c r="C20" s="207"/>
      <c r="D20" s="207"/>
      <c r="E20" s="53">
        <v>15</v>
      </c>
      <c r="F20" s="63"/>
      <c r="G20" s="56"/>
      <c r="H20" s="83">
        <v>3</v>
      </c>
      <c r="I20" s="208" t="str">
        <f>VLOOKUP(H20,'пр.взв.'!B7:H38,2,FALSE)</f>
        <v>СИДЕЛЬНИКОВ Кирилл Юрьевич</v>
      </c>
      <c r="J20" s="209"/>
      <c r="K20" s="209"/>
      <c r="L20" s="209"/>
      <c r="M20" s="210"/>
      <c r="N20" s="52"/>
      <c r="O20" s="52"/>
      <c r="P20" s="64"/>
      <c r="Q20" s="53">
        <v>8</v>
      </c>
      <c r="R20" s="207"/>
      <c r="S20" s="207"/>
      <c r="T20" s="235"/>
      <c r="U20" s="262"/>
      <c r="V20" s="80"/>
      <c r="W20" s="37"/>
      <c r="X20" s="39"/>
      <c r="Y20" s="39"/>
      <c r="Z20" s="39"/>
      <c r="AA20" s="39"/>
      <c r="AB20" s="39"/>
    </row>
    <row r="21" spans="1:28" ht="12.75" customHeight="1" thickBot="1">
      <c r="A21" s="249">
        <v>15</v>
      </c>
      <c r="B21" s="235" t="str">
        <f>VLOOKUP(A21,'пр.взв.'!B21:C51,2,FALSE)</f>
        <v>АНДРЮШКО Дмитрий Васильевич</v>
      </c>
      <c r="C21" s="235" t="str">
        <f>VLOOKUP(A21,'пр.взв.'!B7:E38,3,FALSE)</f>
        <v>20.01.92, КМС</v>
      </c>
      <c r="D21" s="235" t="str">
        <f>VLOOKUP(A21,'пр.взв.'!B$1:G$36,4,FALSE)</f>
        <v>СФО</v>
      </c>
      <c r="E21" s="54" t="s">
        <v>111</v>
      </c>
      <c r="F21" s="56"/>
      <c r="G21" s="56"/>
      <c r="H21" s="90"/>
      <c r="I21" s="211"/>
      <c r="J21" s="212"/>
      <c r="K21" s="212"/>
      <c r="L21" s="212"/>
      <c r="M21" s="213"/>
      <c r="N21" s="52"/>
      <c r="O21" s="52"/>
      <c r="P21" s="52"/>
      <c r="Q21" s="54"/>
      <c r="R21" s="235" t="e">
        <f>VLOOKUP(U21,'пр.взв.'!B21:E51,2,FALSE)</f>
        <v>#N/A</v>
      </c>
      <c r="S21" s="235" t="e">
        <f>VLOOKUP(U21,'пр.взв.'!B1:E51,3,FALSE)</f>
        <v>#N/A</v>
      </c>
      <c r="T21" s="232" t="e">
        <f>VLOOKUP(U21,'пр.взв.'!B$7:E$38,4,FALSE)</f>
        <v>#N/A</v>
      </c>
      <c r="U21" s="263">
        <v>16</v>
      </c>
      <c r="V21" s="80"/>
      <c r="W21" s="37"/>
      <c r="X21" s="39"/>
      <c r="Y21" s="39"/>
      <c r="Z21" s="39"/>
      <c r="AA21" s="39"/>
      <c r="AB21" s="39"/>
    </row>
    <row r="22" spans="1:28" ht="12.75" customHeight="1" thickBot="1">
      <c r="A22" s="251"/>
      <c r="B22" s="236"/>
      <c r="C22" s="236"/>
      <c r="D22" s="236"/>
      <c r="E22" s="56"/>
      <c r="F22" s="51"/>
      <c r="G22" s="51"/>
      <c r="H22" s="57"/>
      <c r="I22" s="57"/>
      <c r="J22" s="57"/>
      <c r="K22" s="57"/>
      <c r="L22" s="57"/>
      <c r="M22" s="57"/>
      <c r="N22" s="57"/>
      <c r="O22" s="81"/>
      <c r="P22" s="81"/>
      <c r="Q22" s="57"/>
      <c r="R22" s="236"/>
      <c r="S22" s="236"/>
      <c r="T22" s="233"/>
      <c r="U22" s="265"/>
      <c r="V22" s="80"/>
      <c r="W22" s="37"/>
      <c r="X22" s="39"/>
      <c r="Y22" s="39"/>
      <c r="Z22" s="39"/>
      <c r="AA22" s="39"/>
      <c r="AB22" s="39"/>
    </row>
    <row r="23" spans="1:28" ht="12.75" customHeight="1">
      <c r="A23" s="91"/>
      <c r="B23" s="91"/>
      <c r="C23" s="91"/>
      <c r="D23" s="92"/>
      <c r="E23" s="93"/>
      <c r="F23" s="93"/>
      <c r="G23" s="93"/>
      <c r="H23" s="193" t="s">
        <v>16</v>
      </c>
      <c r="I23" s="193"/>
      <c r="J23" s="193"/>
      <c r="K23" s="193"/>
      <c r="L23" s="193"/>
      <c r="M23" s="193"/>
      <c r="N23" s="193"/>
      <c r="O23" s="94"/>
      <c r="P23" s="94"/>
      <c r="Q23" s="57"/>
      <c r="R23" s="65"/>
      <c r="S23" s="65"/>
      <c r="T23" s="65"/>
      <c r="U23" s="80"/>
      <c r="V23" s="80"/>
      <c r="W23" s="48"/>
      <c r="X23" s="39"/>
      <c r="Y23" s="39"/>
      <c r="Z23" s="39"/>
      <c r="AA23" s="39"/>
      <c r="AB23" s="39"/>
    </row>
    <row r="24" spans="1:28" ht="12" customHeight="1" thickBot="1">
      <c r="A24" s="80"/>
      <c r="B24" s="80"/>
      <c r="C24" s="80"/>
      <c r="D24" s="66" t="s">
        <v>2</v>
      </c>
      <c r="E24" s="80"/>
      <c r="F24" s="80"/>
      <c r="G24" s="80"/>
      <c r="H24" s="80"/>
      <c r="I24" s="80"/>
      <c r="J24" s="80"/>
      <c r="K24" s="92"/>
      <c r="L24" s="92"/>
      <c r="M24" s="92"/>
      <c r="N24" s="92"/>
      <c r="O24" s="66" t="s">
        <v>3</v>
      </c>
      <c r="P24" s="92"/>
      <c r="Q24" s="92"/>
      <c r="R24" s="92"/>
      <c r="S24" s="92"/>
      <c r="T24" s="92"/>
      <c r="U24" s="67"/>
      <c r="V24" s="92"/>
      <c r="W24" s="37"/>
      <c r="X24" s="39"/>
      <c r="Y24" s="44" t="s">
        <v>43</v>
      </c>
      <c r="Z24" s="44" t="s">
        <v>44</v>
      </c>
      <c r="AA24" s="78" t="s">
        <v>44</v>
      </c>
      <c r="AB24" s="39"/>
    </row>
    <row r="25" spans="1:28" ht="12.75" customHeight="1">
      <c r="A25" s="68">
        <f>Y29</f>
        <v>13</v>
      </c>
      <c r="B25" s="220" t="str">
        <f>VLOOKUP(A25,'пр.взв.'!B7:E38,2,FALSE)</f>
        <v>ЕГОРОВ Виктор Анатольевич</v>
      </c>
      <c r="C25" s="80"/>
      <c r="D25" s="80"/>
      <c r="E25" s="80"/>
      <c r="F25" s="80"/>
      <c r="G25" s="80"/>
      <c r="H25" s="80"/>
      <c r="I25" s="95">
        <f>Y30</f>
        <v>14</v>
      </c>
      <c r="J25" s="200" t="str">
        <f>VLOOKUP(I25,'пр.взв.'!B5:D38,2,FALSE)</f>
        <v>КРИГЕР Иван Иванович</v>
      </c>
      <c r="K25" s="201"/>
      <c r="L25" s="20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37"/>
      <c r="X25" s="39"/>
      <c r="Y25" s="45">
        <f>IF(G10=""," ",IF(G10=E8,E12,E8))</f>
        <v>9</v>
      </c>
      <c r="Z25" s="44">
        <f>IF(A25=""," ",IF(A25=C26,A27,A25))</f>
        <v>13</v>
      </c>
      <c r="AA25" s="44">
        <f>IF(D29=""," ",IF(D29=E32,C35,D29))</f>
        <v>9</v>
      </c>
      <c r="AB25" s="39"/>
    </row>
    <row r="26" spans="1:28" ht="12.75" customHeight="1">
      <c r="A26" s="67"/>
      <c r="B26" s="222"/>
      <c r="C26" s="96">
        <v>9</v>
      </c>
      <c r="D26" s="97"/>
      <c r="E26" s="98"/>
      <c r="F26" s="98"/>
      <c r="G26" s="98"/>
      <c r="H26" s="98"/>
      <c r="I26" s="99"/>
      <c r="J26" s="203"/>
      <c r="K26" s="204"/>
      <c r="L26" s="205"/>
      <c r="M26" s="52">
        <v>2</v>
      </c>
      <c r="N26" s="97"/>
      <c r="O26" s="97"/>
      <c r="P26" s="97"/>
      <c r="Q26" s="97"/>
      <c r="R26" s="100"/>
      <c r="S26" s="97"/>
      <c r="T26" s="97"/>
      <c r="U26" s="67"/>
      <c r="V26" s="92"/>
      <c r="W26" s="37"/>
      <c r="X26" s="39"/>
      <c r="Y26" s="45">
        <f>IF(O10=""," ",IF(O10=Q8,Q12,Q8))</f>
        <v>2</v>
      </c>
      <c r="Z26" s="44">
        <f>IF(I25=""," ",IF(I25=M26,I27,I25))</f>
        <v>14</v>
      </c>
      <c r="AA26" s="44">
        <f>IF(N29=""," ",IF(N29=Q32,M35,N29))</f>
        <v>5</v>
      </c>
      <c r="AB26" s="39"/>
    </row>
    <row r="27" spans="1:28" ht="12.75" customHeight="1">
      <c r="A27" s="69">
        <f>Y25</f>
        <v>9</v>
      </c>
      <c r="B27" s="223" t="str">
        <f>VLOOKUP(A27,'пр.взв.'!B7:D38,2,FALSE)</f>
        <v>ПАВЛОВИЧ Сергей Владимирович</v>
      </c>
      <c r="C27" s="101" t="s">
        <v>111</v>
      </c>
      <c r="D27" s="97"/>
      <c r="E27" s="102"/>
      <c r="F27" s="102"/>
      <c r="G27" s="102"/>
      <c r="H27" s="102"/>
      <c r="I27" s="103">
        <f>Y26</f>
        <v>2</v>
      </c>
      <c r="J27" s="194" t="str">
        <f>VLOOKUP(I27,'пр.взв.'!B7:D38,2,FALSE)</f>
        <v>ХАРХАЧАЕВ Паша Шахрудинович</v>
      </c>
      <c r="K27" s="195"/>
      <c r="L27" s="196"/>
      <c r="M27" s="101" t="s">
        <v>111</v>
      </c>
      <c r="N27" s="82"/>
      <c r="O27" s="82"/>
      <c r="P27" s="82"/>
      <c r="Q27" s="82"/>
      <c r="R27" s="97"/>
      <c r="S27" s="97"/>
      <c r="T27" s="97"/>
      <c r="U27" s="92"/>
      <c r="V27" s="92"/>
      <c r="W27" s="37"/>
      <c r="X27" s="39"/>
      <c r="Y27" s="45">
        <f>IF(G18=""," ",IF(G18=E16,E20,E16))</f>
        <v>15</v>
      </c>
      <c r="Z27" s="44">
        <f>IF(A31=""," ",IF(A31=C32,A33,A31))</f>
        <v>11</v>
      </c>
      <c r="AA27" s="44">
        <f>IF(C32=""," ",IF(C32=D29,C26,C32))</f>
        <v>15</v>
      </c>
      <c r="AB27" s="39"/>
    </row>
    <row r="28" spans="1:28" ht="12.75" customHeight="1" thickBot="1">
      <c r="A28" s="69"/>
      <c r="B28" s="221"/>
      <c r="C28" s="104"/>
      <c r="D28" s="97"/>
      <c r="E28" s="82"/>
      <c r="F28" s="82"/>
      <c r="G28" s="102"/>
      <c r="H28" s="102"/>
      <c r="I28" s="103"/>
      <c r="J28" s="197"/>
      <c r="K28" s="198"/>
      <c r="L28" s="199"/>
      <c r="M28" s="104"/>
      <c r="N28" s="82"/>
      <c r="O28" s="82"/>
      <c r="P28" s="82"/>
      <c r="Q28" s="82"/>
      <c r="R28" s="97"/>
      <c r="S28" s="70"/>
      <c r="T28" s="97"/>
      <c r="U28" s="92"/>
      <c r="V28" s="92"/>
      <c r="W28" s="37"/>
      <c r="X28" s="39"/>
      <c r="Y28" s="45">
        <f>IF(O18=""," ",IF(O18=Q16,Q20,Q16))</f>
        <v>8</v>
      </c>
      <c r="Z28" s="44">
        <f>IF(I31=""," ",IF(I31=M32,I33,I31))</f>
        <v>12</v>
      </c>
      <c r="AA28" s="44">
        <f>IF(M32=""," ",IF(M32=N29,M26,M32))</f>
        <v>8</v>
      </c>
      <c r="AB28" s="39"/>
    </row>
    <row r="29" spans="1:28" ht="12.75" customHeight="1">
      <c r="A29" s="69"/>
      <c r="B29" s="105"/>
      <c r="C29" s="104"/>
      <c r="D29" s="52">
        <v>9</v>
      </c>
      <c r="E29" s="82"/>
      <c r="F29" s="82"/>
      <c r="G29" s="102"/>
      <c r="H29" s="102"/>
      <c r="I29" s="103"/>
      <c r="J29" s="90"/>
      <c r="K29" s="105"/>
      <c r="L29" s="106"/>
      <c r="M29" s="104"/>
      <c r="N29" s="230">
        <v>2</v>
      </c>
      <c r="O29" s="231"/>
      <c r="P29" s="231"/>
      <c r="Q29" s="82"/>
      <c r="R29" s="97"/>
      <c r="S29" s="97"/>
      <c r="T29" s="97"/>
      <c r="U29" s="92"/>
      <c r="V29" s="92"/>
      <c r="W29" s="37"/>
      <c r="X29" s="39"/>
      <c r="Y29" s="45">
        <f>IF(G10=""," ",IF(G10=A7,A9,IF(G10=A9,A7,IF(G10=A11,A13,A11))))</f>
        <v>13</v>
      </c>
      <c r="Z29" s="44">
        <f>IF(AND(OR(A7=G10,A9=G10),A11=E12),A13,IF(AND(OR(A7=G10,A9=G10),A13=E12),A11,IF(A7=E8,A9,A7)))</f>
        <v>1</v>
      </c>
      <c r="AA29" s="44"/>
      <c r="AB29" s="39"/>
    </row>
    <row r="30" spans="1:28" ht="12.75" customHeight="1" thickBot="1">
      <c r="A30" s="69"/>
      <c r="B30" s="108"/>
      <c r="C30" s="104"/>
      <c r="D30" s="101" t="s">
        <v>111</v>
      </c>
      <c r="E30" s="82"/>
      <c r="F30" s="80" t="s">
        <v>19</v>
      </c>
      <c r="G30" s="102"/>
      <c r="H30" s="102"/>
      <c r="I30" s="103"/>
      <c r="J30" s="90"/>
      <c r="K30" s="108"/>
      <c r="L30" s="106"/>
      <c r="M30" s="104"/>
      <c r="N30" s="130"/>
      <c r="O30" s="105" t="s">
        <v>113</v>
      </c>
      <c r="P30" s="109"/>
      <c r="Q30" s="82"/>
      <c r="R30" s="80" t="s">
        <v>19</v>
      </c>
      <c r="S30" s="97"/>
      <c r="T30" s="97"/>
      <c r="U30" s="92"/>
      <c r="V30" s="92"/>
      <c r="W30" s="37"/>
      <c r="X30" s="39"/>
      <c r="Y30" s="45">
        <f>IF(O10=""," ",IF(O10=U7,U9,IF(O10=U9,U7,IF(O10=U11,U13,U11))))</f>
        <v>14</v>
      </c>
      <c r="Z30" s="44">
        <f>IF(AND(U7=O10,U11=Q12),U13,IF(AND(U7=O10,U13=Q12),U11,IF(AND(U9=O10,U11=Q12),U13,IF(AND(U9=O10,U13=Q12),U11,IF(U7=Q8,U9,U7)))))</f>
        <v>10</v>
      </c>
      <c r="AA30" s="44"/>
      <c r="AB30" s="39"/>
    </row>
    <row r="31" spans="1:28" ht="13.5" thickBot="1">
      <c r="A31" s="71">
        <f>Y31</f>
        <v>11</v>
      </c>
      <c r="B31" s="220" t="str">
        <f>VLOOKUP(A31,'пр.взв.'!B7:D38,2,FALSE)</f>
        <v>КОВАЛЬЧУК Роман Валерьевич</v>
      </c>
      <c r="C31" s="110"/>
      <c r="D31" s="111"/>
      <c r="E31" s="83"/>
      <c r="F31" s="82"/>
      <c r="G31" s="82"/>
      <c r="H31" s="82"/>
      <c r="I31" s="112">
        <f>Y32</f>
        <v>12</v>
      </c>
      <c r="J31" s="200" t="str">
        <f>VLOOKUP(I31,'пр.взв.'!B7:D38,2,FALSE)</f>
        <v>ГОНЧАРУК Роман Михайлович</v>
      </c>
      <c r="K31" s="201"/>
      <c r="L31" s="202"/>
      <c r="M31" s="110"/>
      <c r="N31" s="82"/>
      <c r="O31" s="82"/>
      <c r="P31" s="113"/>
      <c r="Q31" s="82"/>
      <c r="R31" s="97"/>
      <c r="S31" s="97"/>
      <c r="T31" s="97"/>
      <c r="U31" s="92"/>
      <c r="V31" s="92"/>
      <c r="W31" s="37"/>
      <c r="X31" s="39"/>
      <c r="Y31" s="45">
        <f>IF(G18=""," ",IF(G18=A15,A17,IF(G18=A15,A17,IF(G18=A19,A21,A19))))</f>
        <v>11</v>
      </c>
      <c r="Z31" s="44">
        <f>IF(AND(OR(A15=G18,A17=G18),A19=E20),A21,IF(AND(OR(A15=G18,A17=G18),A21=E20),A19,IF(A15=E16,A17,A15)))</f>
        <v>7</v>
      </c>
      <c r="AA31" s="44"/>
      <c r="AB31" s="39"/>
    </row>
    <row r="32" spans="1:28" ht="13.5" customHeight="1">
      <c r="A32" s="71"/>
      <c r="B32" s="222"/>
      <c r="C32" s="114">
        <v>15</v>
      </c>
      <c r="D32" s="111"/>
      <c r="E32" s="107">
        <v>6</v>
      </c>
      <c r="F32" s="224" t="str">
        <f>VLOOKUP(E32,'пр.взв.'!B7:D38,2,FALSE)</f>
        <v>КНЯЗЕВ Алексей Дмитриевич</v>
      </c>
      <c r="G32" s="225"/>
      <c r="H32" s="226"/>
      <c r="I32" s="115"/>
      <c r="J32" s="203"/>
      <c r="K32" s="204"/>
      <c r="L32" s="205"/>
      <c r="M32" s="114">
        <v>8</v>
      </c>
      <c r="N32" s="116"/>
      <c r="O32" s="116"/>
      <c r="P32" s="113"/>
      <c r="Q32" s="107">
        <v>2</v>
      </c>
      <c r="R32" s="190" t="str">
        <f>VLOOKUP(Q32,'пр.взв.'!B7:D38,2,FALSE)</f>
        <v>ХАРХАЧАЕВ Паша Шахрудинович</v>
      </c>
      <c r="S32" s="116"/>
      <c r="T32" s="116"/>
      <c r="U32" s="116"/>
      <c r="V32" s="92"/>
      <c r="W32" s="37"/>
      <c r="X32" s="39"/>
      <c r="Y32" s="45">
        <f>IF(O18=""," ",IF(O18=U15,U17,IF(O18=U17,U15,IF(O18=U19,U21,U19))))</f>
        <v>12</v>
      </c>
      <c r="Z32" s="44">
        <f>IF(AND(U15=O18,U19=Q20),U21,IF(AND(U15=O18,U21=Q20),U19,IF(AND(U17=O18,U19=Q20),U21,IF(AND(U17=O18,U21=Q20),U19,IF(U15=Q16,U17,U15)))))</f>
        <v>16</v>
      </c>
      <c r="AA32" s="44"/>
      <c r="AB32" s="39"/>
    </row>
    <row r="33" spans="1:28" ht="13.5" customHeight="1" thickBot="1">
      <c r="A33" s="71">
        <f>Y27</f>
        <v>15</v>
      </c>
      <c r="B33" s="223" t="str">
        <f>VLOOKUP(A33,'пр.взв.'!B7:E38,2,FALSE)</f>
        <v>АНДРЮШКО Дмитрий Васильевич</v>
      </c>
      <c r="C33" s="105" t="s">
        <v>111</v>
      </c>
      <c r="D33" s="111"/>
      <c r="E33" s="117" t="s">
        <v>111</v>
      </c>
      <c r="F33" s="227"/>
      <c r="G33" s="228"/>
      <c r="H33" s="229"/>
      <c r="I33" s="115">
        <f>Y28</f>
        <v>8</v>
      </c>
      <c r="J33" s="194" t="str">
        <f>VLOOKUP(I33,'пр.взв.'!B7:D38,2,FALSE)</f>
        <v>АРЕПЬЕВ Даниил Михайлович</v>
      </c>
      <c r="K33" s="195"/>
      <c r="L33" s="196"/>
      <c r="M33" s="118" t="s">
        <v>111</v>
      </c>
      <c r="N33" s="116"/>
      <c r="O33" s="116"/>
      <c r="P33" s="113"/>
      <c r="Q33" s="105"/>
      <c r="R33" s="191"/>
      <c r="S33" s="116"/>
      <c r="T33" s="116"/>
      <c r="U33" s="116"/>
      <c r="V33" s="92"/>
      <c r="W33" s="37"/>
      <c r="X33" s="39"/>
      <c r="Y33" s="43">
        <f>IF(G10=I14,G18,G10)</f>
        <v>5</v>
      </c>
      <c r="Z33" s="39"/>
      <c r="AA33" s="39"/>
      <c r="AB33" s="39"/>
    </row>
    <row r="34" spans="1:28" ht="13.5" customHeight="1" thickBot="1">
      <c r="A34" s="119"/>
      <c r="B34" s="221"/>
      <c r="C34" s="97"/>
      <c r="D34" s="111"/>
      <c r="E34" s="82"/>
      <c r="F34" s="82"/>
      <c r="G34" s="82"/>
      <c r="H34" s="82"/>
      <c r="I34" s="115"/>
      <c r="J34" s="197"/>
      <c r="K34" s="198"/>
      <c r="L34" s="199"/>
      <c r="M34" s="82"/>
      <c r="N34" s="82"/>
      <c r="O34" s="82"/>
      <c r="P34" s="113"/>
      <c r="Q34" s="82"/>
      <c r="R34" s="97"/>
      <c r="S34" s="97"/>
      <c r="T34" s="97"/>
      <c r="U34" s="92"/>
      <c r="V34" s="92"/>
      <c r="W34" s="37"/>
      <c r="X34" s="39"/>
      <c r="Y34" s="43">
        <f>IF(O10=M14,O18,O10)</f>
        <v>6</v>
      </c>
      <c r="Z34" s="39"/>
      <c r="AA34" s="39"/>
      <c r="AB34" s="39"/>
    </row>
    <row r="35" spans="1:28" ht="12.75">
      <c r="A35" s="92"/>
      <c r="B35" s="97"/>
      <c r="C35" s="112">
        <f>Y34</f>
        <v>6</v>
      </c>
      <c r="D35" s="220" t="str">
        <f>VLOOKUP(C35,'пр.взв.'!B7:D38,2,FALSE)</f>
        <v>КНЯЗЕВ Алексей Дмитриевич</v>
      </c>
      <c r="E35" s="82"/>
      <c r="F35" s="82"/>
      <c r="G35" s="82"/>
      <c r="H35" s="82"/>
      <c r="I35" s="83"/>
      <c r="J35" s="102"/>
      <c r="K35" s="82"/>
      <c r="L35" s="82"/>
      <c r="M35" s="112">
        <f>Y33</f>
        <v>5</v>
      </c>
      <c r="N35" s="200" t="str">
        <f>VLOOKUP(M35,'пр.взв.'!B7:D38,2,FALSE)</f>
        <v>АГАЕВ Магомедбаг Гасанович</v>
      </c>
      <c r="O35" s="215"/>
      <c r="P35" s="216"/>
      <c r="Q35" s="82"/>
      <c r="R35" s="97"/>
      <c r="S35" s="97"/>
      <c r="T35" s="97"/>
      <c r="U35" s="92"/>
      <c r="V35" s="92"/>
      <c r="W35" s="37"/>
      <c r="X35" s="39"/>
      <c r="Y35" s="39"/>
      <c r="Z35" s="39"/>
      <c r="AA35" s="39"/>
      <c r="AB35" s="39"/>
    </row>
    <row r="36" spans="1:28" ht="13.5" thickBot="1">
      <c r="A36" s="80"/>
      <c r="B36" s="97"/>
      <c r="C36" s="120"/>
      <c r="D36" s="221"/>
      <c r="E36" s="82"/>
      <c r="F36" s="82"/>
      <c r="G36" s="82"/>
      <c r="H36" s="82"/>
      <c r="I36" s="82"/>
      <c r="J36" s="102"/>
      <c r="K36" s="82"/>
      <c r="L36" s="82"/>
      <c r="M36" s="82"/>
      <c r="N36" s="217"/>
      <c r="O36" s="218"/>
      <c r="P36" s="219"/>
      <c r="Q36" s="82"/>
      <c r="R36" s="97"/>
      <c r="S36" s="97"/>
      <c r="T36" s="97"/>
      <c r="U36" s="92"/>
      <c r="V36" s="92"/>
      <c r="W36" s="37"/>
      <c r="X36" s="39"/>
      <c r="Y36" s="39"/>
      <c r="Z36" s="39"/>
      <c r="AA36" s="39"/>
      <c r="AB36" s="39"/>
    </row>
    <row r="37" spans="1:28" ht="12.75">
      <c r="A37" s="121"/>
      <c r="B37" s="122"/>
      <c r="C37" s="122"/>
      <c r="D37" s="123"/>
      <c r="E37" s="124"/>
      <c r="F37" s="124"/>
      <c r="G37" s="124"/>
      <c r="H37" s="125"/>
      <c r="I37" s="125"/>
      <c r="J37" s="125"/>
      <c r="K37" s="124"/>
      <c r="L37" s="124"/>
      <c r="M37" s="124"/>
      <c r="N37" s="124"/>
      <c r="O37" s="124"/>
      <c r="P37" s="124"/>
      <c r="Q37" s="124"/>
      <c r="R37" s="122"/>
      <c r="S37" s="122"/>
      <c r="T37" s="122"/>
      <c r="U37" s="122"/>
      <c r="V37" s="122"/>
      <c r="W37" s="37"/>
      <c r="X37" s="39"/>
      <c r="Y37" s="39"/>
      <c r="Z37" s="39"/>
      <c r="AA37" s="39"/>
      <c r="AB37" s="39"/>
    </row>
    <row r="38" spans="1:28" ht="15.75">
      <c r="A38" s="214" t="str">
        <f>HYPERLINK('[1]реквизиты'!$A$6)</f>
        <v>Гл. судья, судья МК</v>
      </c>
      <c r="B38" s="214"/>
      <c r="C38" s="214"/>
      <c r="D38" s="80"/>
      <c r="E38" s="72"/>
      <c r="F38" s="73"/>
      <c r="G38" s="80"/>
      <c r="H38" s="80"/>
      <c r="I38" s="80"/>
      <c r="J38" s="74" t="str">
        <f>Итоговый!G40</f>
        <v>Н.Н.Малышев</v>
      </c>
      <c r="K38" s="80"/>
      <c r="L38" s="80"/>
      <c r="M38" s="80"/>
      <c r="N38" s="93"/>
      <c r="O38" s="126" t="str">
        <f>Итоговый!G41</f>
        <v>/г.Дубна/</v>
      </c>
      <c r="P38" s="93"/>
      <c r="Q38" s="93"/>
      <c r="R38" s="92"/>
      <c r="S38" s="92"/>
      <c r="T38" s="92"/>
      <c r="U38" s="92"/>
      <c r="V38" s="92"/>
      <c r="W38" s="37"/>
      <c r="X38" s="39"/>
      <c r="Y38" s="39"/>
      <c r="Z38" s="39"/>
      <c r="AA38" s="39"/>
      <c r="AB38" s="39"/>
    </row>
    <row r="39" spans="1:28" ht="12.75">
      <c r="A39" s="65"/>
      <c r="B39" s="65"/>
      <c r="C39" s="65"/>
      <c r="D39" s="92"/>
      <c r="E39" s="93"/>
      <c r="F39" s="93"/>
      <c r="G39" s="93"/>
      <c r="H39" s="93"/>
      <c r="I39" s="93"/>
      <c r="J39" s="57"/>
      <c r="K39" s="57"/>
      <c r="L39" s="57"/>
      <c r="M39" s="57"/>
      <c r="N39" s="57"/>
      <c r="O39" s="57"/>
      <c r="P39" s="57"/>
      <c r="Q39" s="57"/>
      <c r="R39" s="80"/>
      <c r="S39" s="80"/>
      <c r="T39" s="80"/>
      <c r="U39" s="80"/>
      <c r="V39" s="80"/>
      <c r="W39" s="37"/>
      <c r="X39" s="39"/>
      <c r="Y39" s="39"/>
      <c r="Z39" s="39"/>
      <c r="AA39" s="39"/>
      <c r="AB39" s="39"/>
    </row>
    <row r="40" spans="1:28" ht="15.75">
      <c r="A40" s="75" t="str">
        <f>HYPERLINK('[1]реквизиты'!$A$8)</f>
        <v>Гл. секретарь, судья МК</v>
      </c>
      <c r="B40" s="76"/>
      <c r="C40" s="77"/>
      <c r="D40" s="92"/>
      <c r="E40" s="92"/>
      <c r="F40" s="92"/>
      <c r="G40" s="92"/>
      <c r="H40" s="92"/>
      <c r="I40" s="92"/>
      <c r="J40" s="74" t="str">
        <f>Итоговый!G43</f>
        <v>С.М.Трескин</v>
      </c>
      <c r="K40" s="93"/>
      <c r="L40" s="93"/>
      <c r="M40" s="93"/>
      <c r="N40" s="80"/>
      <c r="O40" s="126" t="str">
        <f>Итоговый!G44</f>
        <v>/г.Бийск/</v>
      </c>
      <c r="P40" s="57"/>
      <c r="Q40" s="80"/>
      <c r="R40" s="80"/>
      <c r="S40" s="80"/>
      <c r="T40" s="80"/>
      <c r="U40" s="80"/>
      <c r="V40" s="80"/>
      <c r="W40" s="37"/>
      <c r="X40" s="39"/>
      <c r="Y40" s="39"/>
      <c r="Z40" s="39"/>
      <c r="AA40" s="39"/>
      <c r="AB40" s="39"/>
    </row>
    <row r="41" spans="1:24" ht="15">
      <c r="A41" s="80"/>
      <c r="B41" s="80"/>
      <c r="C41" s="80"/>
      <c r="D41" s="73"/>
      <c r="E41" s="73"/>
      <c r="F41" s="73"/>
      <c r="G41" s="92"/>
      <c r="H41" s="92"/>
      <c r="I41" s="92"/>
      <c r="J41" s="92"/>
      <c r="K41" s="92"/>
      <c r="L41" s="92"/>
      <c r="M41" s="93"/>
      <c r="N41" s="93"/>
      <c r="O41" s="93"/>
      <c r="P41" s="93"/>
      <c r="Q41" s="92"/>
      <c r="R41" s="80"/>
      <c r="S41" s="57"/>
      <c r="T41" s="57"/>
      <c r="U41" s="80"/>
      <c r="V41" s="80"/>
      <c r="W41" s="37"/>
      <c r="X41" s="39"/>
    </row>
    <row r="42" spans="1:22" ht="15">
      <c r="A42" s="15"/>
      <c r="B42" s="15"/>
      <c r="C42" s="15"/>
      <c r="D42" s="9"/>
      <c r="E42" s="9"/>
      <c r="F42" s="10"/>
      <c r="G42" s="127"/>
      <c r="H42" s="127"/>
      <c r="I42" s="127"/>
      <c r="J42" s="127"/>
      <c r="K42" s="127"/>
      <c r="L42" s="127"/>
      <c r="M42" s="128"/>
      <c r="N42" s="128"/>
      <c r="O42" s="128"/>
      <c r="P42" s="128"/>
      <c r="Q42" s="127"/>
      <c r="R42" s="15"/>
      <c r="S42" s="129"/>
      <c r="T42" s="129"/>
      <c r="U42" s="15"/>
      <c r="V42" s="15"/>
    </row>
    <row r="43" spans="10:20" ht="12.75">
      <c r="J43" s="1"/>
      <c r="K43" s="1"/>
      <c r="L43" s="1"/>
      <c r="M43" s="1"/>
      <c r="N43" s="1"/>
      <c r="O43" s="1"/>
      <c r="P43" s="1"/>
      <c r="Q43" s="1"/>
      <c r="S43" s="7"/>
      <c r="T43" s="7"/>
    </row>
    <row r="44" spans="2:18" ht="15">
      <c r="B44" s="4">
        <f>HYPERLINK('[1]реквизиты'!$A$22)</f>
      </c>
      <c r="C44" s="3"/>
      <c r="D44" s="9"/>
      <c r="E44" s="9"/>
      <c r="F44" s="9"/>
      <c r="G44" s="2"/>
      <c r="H44" s="2"/>
      <c r="M44" s="6">
        <f>HYPERLINK('[1]реквизиты'!$G$23)</f>
      </c>
      <c r="O44" s="7"/>
      <c r="P44" s="7"/>
      <c r="R44" s="2"/>
    </row>
    <row r="45" spans="5:17" ht="12.75"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55" ht="12.75">
      <c r="D55" s="1"/>
    </row>
    <row r="57" spans="5:9" ht="12.75">
      <c r="E57" s="1"/>
      <c r="F57" s="1"/>
      <c r="G57" s="1"/>
      <c r="H57" s="1"/>
      <c r="I57" s="1"/>
    </row>
  </sheetData>
  <sheetProtection password="CCC7" sheet="1" formatCells="0" formatColumns="0" formatRows="0" insertColumns="0" insertRows="0" insertHyperlinks="0" deleteColumns="0" deleteRows="0" sort="0" autoFilter="0" pivotTables="0"/>
  <mergeCells count="90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T21:T22"/>
    <mergeCell ref="T19:T20"/>
    <mergeCell ref="S21:S22"/>
    <mergeCell ref="S19:S20"/>
    <mergeCell ref="S17:S18"/>
    <mergeCell ref="S15:S16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N29:P29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X54"/>
  <sheetViews>
    <sheetView tabSelected="1" zoomScalePageLayoutView="0" workbookViewId="0" topLeftCell="A22">
      <selection activeCell="S1" sqref="S1:X16384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  <col min="10" max="24" width="0" style="0" hidden="1" customWidth="1"/>
  </cols>
  <sheetData>
    <row r="1" spans="1:8" ht="54" customHeight="1" thickBot="1">
      <c r="A1" s="311" t="s">
        <v>12</v>
      </c>
      <c r="B1" s="311"/>
      <c r="C1" s="311"/>
      <c r="D1" s="311"/>
      <c r="E1" s="311"/>
      <c r="F1" s="311"/>
      <c r="G1" s="311"/>
      <c r="H1" s="311"/>
    </row>
    <row r="2" spans="2:8" ht="25.5" customHeight="1" thickBot="1">
      <c r="B2" s="188" t="s">
        <v>14</v>
      </c>
      <c r="C2" s="188"/>
      <c r="D2" s="319" t="str">
        <f>HYPERLINK('[1]реквизиты'!$A$2)</f>
        <v>Чемпионат России по БОЕВОМУ САМБО </v>
      </c>
      <c r="E2" s="320"/>
      <c r="F2" s="320"/>
      <c r="G2" s="320"/>
      <c r="H2" s="321"/>
    </row>
    <row r="3" spans="2:8" ht="32.25" customHeight="1" thickBot="1">
      <c r="B3" s="322" t="str">
        <f>'пр.взв.'!A3</f>
        <v>9-12 февраля 2016.                                                         г.Петрозаводск</v>
      </c>
      <c r="C3" s="322"/>
      <c r="D3" s="322"/>
      <c r="E3" s="322"/>
      <c r="F3" s="322"/>
      <c r="G3" s="322"/>
      <c r="H3" s="16" t="str">
        <f>'пр.взв.'!D4</f>
        <v>в.к. св100  кг.</v>
      </c>
    </row>
    <row r="4" spans="1:24" ht="12.75" customHeight="1" thickBot="1">
      <c r="A4" s="276" t="s">
        <v>21</v>
      </c>
      <c r="B4" s="278" t="s">
        <v>4</v>
      </c>
      <c r="C4" s="280" t="s">
        <v>5</v>
      </c>
      <c r="D4" s="270" t="s">
        <v>6</v>
      </c>
      <c r="E4" s="269" t="s">
        <v>7</v>
      </c>
      <c r="F4" s="270"/>
      <c r="G4" s="317" t="s">
        <v>10</v>
      </c>
      <c r="H4" s="314" t="s">
        <v>8</v>
      </c>
      <c r="J4" s="327" t="str">
        <f>MID(F6,FIND(,F6),3)</f>
        <v>С-П</v>
      </c>
      <c r="K4" s="326">
        <v>1</v>
      </c>
      <c r="L4" s="335" t="s">
        <v>28</v>
      </c>
      <c r="M4" s="333" t="s">
        <v>29</v>
      </c>
      <c r="N4" s="328"/>
      <c r="O4" s="329"/>
      <c r="P4" s="329"/>
      <c r="Q4" s="330"/>
      <c r="S4" s="331" t="s">
        <v>28</v>
      </c>
      <c r="T4" s="333" t="s">
        <v>29</v>
      </c>
      <c r="U4" s="328"/>
      <c r="V4" s="329"/>
      <c r="W4" s="329"/>
      <c r="X4" s="330"/>
    </row>
    <row r="5" spans="1:24" ht="16.5" thickBot="1">
      <c r="A5" s="277"/>
      <c r="B5" s="279"/>
      <c r="C5" s="281"/>
      <c r="D5" s="272"/>
      <c r="E5" s="271"/>
      <c r="F5" s="272"/>
      <c r="G5" s="268"/>
      <c r="H5" s="315"/>
      <c r="J5" s="327"/>
      <c r="K5" s="326"/>
      <c r="L5" s="336"/>
      <c r="M5" s="334"/>
      <c r="N5" s="17">
        <v>1</v>
      </c>
      <c r="O5" s="18">
        <v>2</v>
      </c>
      <c r="P5" s="18">
        <v>3</v>
      </c>
      <c r="Q5" s="19">
        <v>5</v>
      </c>
      <c r="S5" s="332"/>
      <c r="T5" s="334"/>
      <c r="U5" s="17">
        <v>1</v>
      </c>
      <c r="V5" s="18">
        <v>2</v>
      </c>
      <c r="W5" s="18">
        <v>3</v>
      </c>
      <c r="X5" s="19">
        <v>5</v>
      </c>
    </row>
    <row r="6" spans="1:24" ht="12.75" customHeight="1">
      <c r="A6" s="286">
        <v>1</v>
      </c>
      <c r="B6" s="288">
        <f>'пр.хода'!H8</f>
        <v>4</v>
      </c>
      <c r="C6" s="282" t="str">
        <f>VLOOKUP(B6,'пр.взв.'!B7:H38,2,FALSE)</f>
        <v>ГОЛЬЦОВ Денис Александрович</v>
      </c>
      <c r="D6" s="290" t="str">
        <f>VLOOKUP(B6,'пр.взв.'!B7:H131,3,FALSE)</f>
        <v>10.06.90, МС</v>
      </c>
      <c r="E6" s="325" t="str">
        <f>VLOOKUP(B6,'пр.взв.'!B7:H38,4,FALSE)</f>
        <v>С-П</v>
      </c>
      <c r="F6" s="306" t="str">
        <f>VLOOKUP(B6,'пр.взв.'!B7:H38,5,FALSE)</f>
        <v>С-Петербург, МО</v>
      </c>
      <c r="G6" s="324">
        <f>VLOOKUP(B6,'пр.взв.'!B7:H38,6,FALSE)</f>
        <v>0</v>
      </c>
      <c r="H6" s="316" t="str">
        <f>VLOOKUP(B6,'пр.взв.'!B7:H133,7,FALSE)</f>
        <v>Коршунов А.И.</v>
      </c>
      <c r="J6" s="327" t="s">
        <v>30</v>
      </c>
      <c r="K6" s="326">
        <v>1</v>
      </c>
      <c r="L6" s="20">
        <v>1</v>
      </c>
      <c r="M6" s="21" t="s">
        <v>31</v>
      </c>
      <c r="N6" s="22">
        <f>SUMIF($J$4:$J$7,"Алт",$K$4:$K$7)</f>
        <v>0</v>
      </c>
      <c r="O6" s="22">
        <f>SUMIF($I$8:$J$9,"алт",$K$6:$K$9)</f>
        <v>0</v>
      </c>
      <c r="P6" s="23">
        <f>SUMIF($J$10:$J$13,"Алт",$K$10:$K$13)</f>
        <v>0</v>
      </c>
      <c r="Q6" s="23">
        <f>SUMIF($J$14:$J$17,"Алт",$K$14:$K$17)</f>
        <v>0</v>
      </c>
      <c r="S6" s="20">
        <v>1</v>
      </c>
      <c r="T6" s="21" t="str">
        <f>J4</f>
        <v>С-П</v>
      </c>
      <c r="U6" s="22">
        <f aca="true" t="shared" si="0" ref="U6:U11">SUMIF($J$4:$J$7,T6,$K$4:$K$7)</f>
        <v>1</v>
      </c>
      <c r="V6" s="22">
        <f aca="true" t="shared" si="1" ref="V6:V11">SUMIF($I$8:$J$9,T6,$K$6:$K$9)</f>
        <v>0</v>
      </c>
      <c r="W6" s="23">
        <f aca="true" t="shared" si="2" ref="W6:W11">SUMIF($J$10:$J$13,T6,$K$10:$K$13)</f>
        <v>0</v>
      </c>
      <c r="X6" s="23">
        <f aca="true" t="shared" si="3" ref="X6:X11">SUMIF($J$14:$J$17,T6,$K$14:$K$17)</f>
        <v>0</v>
      </c>
    </row>
    <row r="7" spans="1:24" ht="15.75">
      <c r="A7" s="287"/>
      <c r="B7" s="289"/>
      <c r="C7" s="283"/>
      <c r="D7" s="290"/>
      <c r="E7" s="274"/>
      <c r="F7" s="180"/>
      <c r="G7" s="324"/>
      <c r="H7" s="316"/>
      <c r="J7" s="326"/>
      <c r="K7" s="326"/>
      <c r="L7" s="24">
        <v>2</v>
      </c>
      <c r="M7" s="21" t="s">
        <v>32</v>
      </c>
      <c r="N7" s="22">
        <f>SUMIF($J$4:$J$7,"заб",$K$4:$K$7)</f>
        <v>0</v>
      </c>
      <c r="O7" s="22">
        <f>SUMIF($I$8:$J$9,"заб",$K$6:$K$9)</f>
        <v>0</v>
      </c>
      <c r="P7" s="23">
        <f>SUMIF($J$10:$J$13,"заб",$K$10:$K$13)</f>
        <v>1</v>
      </c>
      <c r="Q7" s="23">
        <f>SUMIF($J$14:$J$17,"заб",$K$14:$K$17)</f>
        <v>0</v>
      </c>
      <c r="S7" s="24">
        <v>2</v>
      </c>
      <c r="T7" s="21" t="str">
        <f>IF(J8=J4," ",J8)</f>
        <v>Бел</v>
      </c>
      <c r="U7" s="22">
        <f t="shared" si="0"/>
        <v>0</v>
      </c>
      <c r="V7" s="22">
        <f t="shared" si="1"/>
        <v>1</v>
      </c>
      <c r="W7" s="23">
        <f t="shared" si="2"/>
        <v>0</v>
      </c>
      <c r="X7" s="23">
        <f t="shared" si="3"/>
        <v>0</v>
      </c>
    </row>
    <row r="8" spans="1:24" ht="12.75" customHeight="1">
      <c r="A8" s="287">
        <v>2</v>
      </c>
      <c r="B8" s="289">
        <f>'пр.хода'!H20</f>
        <v>3</v>
      </c>
      <c r="C8" s="282" t="str">
        <f>VLOOKUP(B8,'пр.взв.'!B1:H40,2,FALSE)</f>
        <v>СИДЕЛЬНИКОВ Кирилл Юрьевич</v>
      </c>
      <c r="D8" s="284" t="str">
        <f>VLOOKUP(B8,'пр.взв.'!B1:H133,3,FALSE)</f>
        <v>17.08.1988 ЗМС</v>
      </c>
      <c r="E8" s="273" t="str">
        <f>VLOOKUP(B8,'пр.взв.'!B1:H40,4,FALSE)</f>
        <v>ЦФО</v>
      </c>
      <c r="F8" s="292" t="str">
        <f>VLOOKUP(B8,'пр.взв.'!B1:H40,5,FALSE)</f>
        <v>Белгородская область, Старый оскол</v>
      </c>
      <c r="G8" s="295">
        <f>VLOOKUP(B8,'пр.взв.'!B1:H40,6,FALSE)</f>
        <v>0</v>
      </c>
      <c r="H8" s="312" t="str">
        <f>VLOOKUP(B8,'пр.взв.'!B1:H135,7,FALSE)</f>
        <v>Воронов В.М., Мичков А.В.</v>
      </c>
      <c r="J8" s="326" t="str">
        <f>MID(F8,FIND(,F8),3)</f>
        <v>Бел</v>
      </c>
      <c r="K8" s="326">
        <v>1</v>
      </c>
      <c r="L8" s="25">
        <v>3</v>
      </c>
      <c r="M8" s="21" t="s">
        <v>33</v>
      </c>
      <c r="N8" s="22">
        <f>SUMIF($J$4:$J$7,"ирк",$K$4:$K$7)</f>
        <v>0</v>
      </c>
      <c r="O8" s="22">
        <f>SUMIF($I$8:$J$9,"ирк",$K$6:$K$9)</f>
        <v>0</v>
      </c>
      <c r="P8" s="23">
        <f>SUMIF($J$10:$J$13,"ирк",$K$10:$K$13)</f>
        <v>0</v>
      </c>
      <c r="Q8" s="23">
        <f>SUMIF($J$14:$J$17,"ирк",$K$14:$K$17)</f>
        <v>0</v>
      </c>
      <c r="S8" s="25">
        <v>3</v>
      </c>
      <c r="T8" s="21" t="str">
        <f>IF(OR(J10=J4,J10=J8)," ",J10)</f>
        <v>Заб</v>
      </c>
      <c r="U8" s="22">
        <f t="shared" si="0"/>
        <v>0</v>
      </c>
      <c r="V8" s="22">
        <f t="shared" si="1"/>
        <v>0</v>
      </c>
      <c r="W8" s="23">
        <f t="shared" si="2"/>
        <v>1</v>
      </c>
      <c r="X8" s="23">
        <f t="shared" si="3"/>
        <v>0</v>
      </c>
    </row>
    <row r="9" spans="1:24" ht="15.75">
      <c r="A9" s="287"/>
      <c r="B9" s="289"/>
      <c r="C9" s="283"/>
      <c r="D9" s="285"/>
      <c r="E9" s="275"/>
      <c r="F9" s="292"/>
      <c r="G9" s="296"/>
      <c r="H9" s="313"/>
      <c r="J9" s="326"/>
      <c r="K9" s="326"/>
      <c r="L9" s="24">
        <v>4</v>
      </c>
      <c r="M9" s="21" t="s">
        <v>34</v>
      </c>
      <c r="N9" s="22">
        <f>SUMIF($J$4:$J$7,"кем",$K$4:$K$7)</f>
        <v>0</v>
      </c>
      <c r="O9" s="22">
        <f>SUMIF($I$8:$J$9,"кем",$K$6:$K$9)</f>
        <v>0</v>
      </c>
      <c r="P9" s="23">
        <f>SUMIF($J$10:$J$13,"кем",$K$10:$K$13)</f>
        <v>0</v>
      </c>
      <c r="Q9" s="23">
        <f>SUMIF($J$14:$J$17,"кем",$K$14:$K$17)</f>
        <v>0</v>
      </c>
      <c r="S9" s="24">
        <v>4</v>
      </c>
      <c r="T9" s="21" t="str">
        <f>IF(OR(J12=J4,J12=J8,J12=J10)," ",J12)</f>
        <v>Р.Д</v>
      </c>
      <c r="U9" s="22">
        <f t="shared" si="0"/>
        <v>0</v>
      </c>
      <c r="V9" s="22">
        <f t="shared" si="1"/>
        <v>0</v>
      </c>
      <c r="W9" s="23">
        <f t="shared" si="2"/>
        <v>1</v>
      </c>
      <c r="X9" s="23">
        <f t="shared" si="3"/>
        <v>0</v>
      </c>
    </row>
    <row r="10" spans="1:24" ht="12.75" customHeight="1">
      <c r="A10" s="287">
        <v>3</v>
      </c>
      <c r="B10" s="289">
        <f>'пр.хода'!E32</f>
        <v>6</v>
      </c>
      <c r="C10" s="291" t="str">
        <f>VLOOKUP(B10,'пр.взв.'!B1:H42,2,FALSE)</f>
        <v>КНЯЗЕВ Алексей Дмитриевич</v>
      </c>
      <c r="D10" s="284" t="str">
        <f>VLOOKUP(B10,'пр.взв.'!B1:H135,3,FALSE)</f>
        <v>23.09.75 МСМК</v>
      </c>
      <c r="E10" s="273" t="str">
        <f>VLOOKUP(B10,'пр.взв.'!B1:H42,4,FALSE)</f>
        <v>СФО</v>
      </c>
      <c r="F10" s="292" t="str">
        <f>VLOOKUP(B10,'пр.взв.'!B1:H42,5,FALSE)</f>
        <v>Забайкальский  ПР</v>
      </c>
      <c r="G10" s="295">
        <f>VLOOKUP(B10,'пр.взв.'!B1:H42,6,FALSE)</f>
        <v>0</v>
      </c>
      <c r="H10" s="312" t="str">
        <f>VLOOKUP(B10,'пр.взв.'!B1:H137,7,FALSE)</f>
        <v>Малышев ЭГ</v>
      </c>
      <c r="J10" s="326" t="str">
        <f>MID(F10,FIND(,F10),3)</f>
        <v>Заб</v>
      </c>
      <c r="K10" s="326">
        <v>1</v>
      </c>
      <c r="L10" s="25">
        <v>5</v>
      </c>
      <c r="M10" s="21" t="s">
        <v>35</v>
      </c>
      <c r="N10" s="22">
        <f>SUMIF($J$4:$J$7,"кра",$K$4:$K$7)</f>
        <v>0</v>
      </c>
      <c r="O10" s="22">
        <f>SUMIF($I$8:$J$9,"кра",$K$6:$K$9)</f>
        <v>0</v>
      </c>
      <c r="P10" s="23">
        <f>SUMIF($J$10:$J$13,"кра",$K$10:$K$13)</f>
        <v>0</v>
      </c>
      <c r="Q10" s="23">
        <f>SUMIF($J$14:$J$17,"кра",$K$14:$K$17)</f>
        <v>0</v>
      </c>
      <c r="S10" s="25">
        <v>5</v>
      </c>
      <c r="T10" s="21" t="str">
        <f>IF(OR(J14=J4,J14=J8,J14=J10,J14=J12)," ",J14)</f>
        <v>Мос</v>
      </c>
      <c r="U10" s="22">
        <f t="shared" si="0"/>
        <v>0</v>
      </c>
      <c r="V10" s="22">
        <f t="shared" si="1"/>
        <v>0</v>
      </c>
      <c r="W10" s="23">
        <f t="shared" si="2"/>
        <v>0</v>
      </c>
      <c r="X10" s="23">
        <f t="shared" si="3"/>
        <v>1</v>
      </c>
    </row>
    <row r="11" spans="1:24" ht="15.75">
      <c r="A11" s="287"/>
      <c r="B11" s="289"/>
      <c r="C11" s="283"/>
      <c r="D11" s="285"/>
      <c r="E11" s="275"/>
      <c r="F11" s="292"/>
      <c r="G11" s="296"/>
      <c r="H11" s="313"/>
      <c r="J11" s="326"/>
      <c r="K11" s="326"/>
      <c r="L11" s="24">
        <v>6</v>
      </c>
      <c r="M11" s="21" t="s">
        <v>36</v>
      </c>
      <c r="N11" s="22">
        <f>SUMIF($J$4:$J$7,"нов",$K$4:$K$7)</f>
        <v>0</v>
      </c>
      <c r="O11" s="22">
        <f>SUMIF($I$8:$J$9,"нов",$K$6:$K$9)</f>
        <v>0</v>
      </c>
      <c r="P11" s="23">
        <f>SUMIF($J$10:$J$13,"нов",$K$10:$K$13)</f>
        <v>0</v>
      </c>
      <c r="Q11" s="23">
        <f>SUMIF($J$14:$J$17,"нов",$K$14:$K$17)</f>
        <v>0</v>
      </c>
      <c r="S11" s="24">
        <v>6</v>
      </c>
      <c r="T11" s="21" t="str">
        <f>IF(OR(J16=J4,J16=J8,J16=J10,J16=J12,J16=J14)," ",J16)</f>
        <v>Сан</v>
      </c>
      <c r="U11" s="22">
        <f t="shared" si="0"/>
        <v>0</v>
      </c>
      <c r="V11" s="22">
        <f t="shared" si="1"/>
        <v>0</v>
      </c>
      <c r="W11" s="23">
        <f t="shared" si="2"/>
        <v>0</v>
      </c>
      <c r="X11" s="23">
        <f t="shared" si="3"/>
        <v>1</v>
      </c>
    </row>
    <row r="12" spans="1:24" ht="12.75" customHeight="1">
      <c r="A12" s="287">
        <v>3</v>
      </c>
      <c r="B12" s="289">
        <f>'пр.хода'!Q32</f>
        <v>2</v>
      </c>
      <c r="C12" s="282" t="str">
        <f>VLOOKUP(B12,'пр.взв.'!B1:H44,2,FALSE)</f>
        <v>ХАРХАЧАЕВ Паша Шахрудинович</v>
      </c>
      <c r="D12" s="284" t="str">
        <f>VLOOKUP(B12,'пр.взв.'!B1:H137,3,FALSE)</f>
        <v>26.04.95, КМС</v>
      </c>
      <c r="E12" s="273" t="str">
        <f>VLOOKUP(B12,'пр.взв.'!B1:H44,4,FALSE)</f>
        <v>СКФО</v>
      </c>
      <c r="F12" s="292" t="str">
        <f>VLOOKUP(B12,'пр.взв.'!B1:H44,5,FALSE)</f>
        <v>Р.Дагестан, Махачкала, ПР</v>
      </c>
      <c r="G12" s="295">
        <f>VLOOKUP(B12,'пр.взв.'!B1:H44,6,FALSE)</f>
        <v>0</v>
      </c>
      <c r="H12" s="312" t="str">
        <f>VLOOKUP(B12,'пр.взв.'!B1:H139,7,FALSE)</f>
        <v>Магомедов М.А.</v>
      </c>
      <c r="J12" s="326" t="str">
        <f>MID(F12,FIND(,F12),3)</f>
        <v>Р.Д</v>
      </c>
      <c r="K12" s="326">
        <v>1</v>
      </c>
      <c r="L12" s="25">
        <v>7</v>
      </c>
      <c r="M12" s="21" t="s">
        <v>37</v>
      </c>
      <c r="N12" s="22">
        <f>SUMIF($J$4:$J$7,"омс",$K$4:$K$7)</f>
        <v>0</v>
      </c>
      <c r="O12" s="22">
        <f>SUMIF($I$8:$J$9,"омс",$K$6:$K$9)</f>
        <v>0</v>
      </c>
      <c r="P12" s="23">
        <f>SUMIF($J$10:$J$13,"омс",$K$10:$K$13)</f>
        <v>0</v>
      </c>
      <c r="Q12" s="23">
        <f>SUMIF($J$14:$J$17,"омс",$K$14:$K$17)</f>
        <v>0</v>
      </c>
      <c r="S12" s="26"/>
      <c r="T12" s="21" t="str">
        <f>IF(OR(J15=J7,J15=J11,J15=J13)," ",J15)</f>
        <v> </v>
      </c>
      <c r="U12" s="27"/>
      <c r="V12" s="27"/>
      <c r="W12" s="28"/>
      <c r="X12" s="28"/>
    </row>
    <row r="13" spans="1:24" ht="15.75">
      <c r="A13" s="287"/>
      <c r="B13" s="289"/>
      <c r="C13" s="283"/>
      <c r="D13" s="285"/>
      <c r="E13" s="275"/>
      <c r="F13" s="292"/>
      <c r="G13" s="296"/>
      <c r="H13" s="313"/>
      <c r="J13" s="326"/>
      <c r="K13" s="326"/>
      <c r="L13" s="24">
        <v>8</v>
      </c>
      <c r="M13" s="21" t="s">
        <v>38</v>
      </c>
      <c r="N13" s="22">
        <f>SUMIF($J$4:$J$7,"р.а",$K$4:$K$7)</f>
        <v>0</v>
      </c>
      <c r="O13" s="22">
        <f>SUMIF($I$8:$J$9,"р.а",$K$6:$K$9)</f>
        <v>0</v>
      </c>
      <c r="P13" s="23">
        <f>SUMIF($J$10:$J$13,"р.а",$K$10:$K$13)</f>
        <v>0</v>
      </c>
      <c r="Q13" s="23">
        <f>SUMIF($J$14:$J$17,"р.а",$K$14:$K$17)</f>
        <v>0</v>
      </c>
      <c r="S13" s="29"/>
      <c r="T13" s="36" t="str">
        <f>IF(OR(J16=J8,J16=J12,J16=J14)," ",J16)</f>
        <v>Сан</v>
      </c>
      <c r="U13" s="27"/>
      <c r="V13" s="27"/>
      <c r="W13" s="28"/>
      <c r="X13" s="28"/>
    </row>
    <row r="14" spans="1:24" ht="12.75" customHeight="1">
      <c r="A14" s="293">
        <v>5</v>
      </c>
      <c r="B14" s="289">
        <f>'пр.хода'!AA25</f>
        <v>9</v>
      </c>
      <c r="C14" s="282" t="str">
        <f>VLOOKUP(B14,'пр.взв.'!B1:H46,2,FALSE)</f>
        <v>ПАВЛОВИЧ Сергей Владимирович</v>
      </c>
      <c r="D14" s="284" t="str">
        <f>VLOOKUP(B14,'пр.взв.'!B1:H139,3,FALSE)</f>
        <v>13.05.92, МС</v>
      </c>
      <c r="E14" s="273" t="str">
        <f>VLOOKUP(B14,'пр.взв.'!B1:H46,4,FALSE)</f>
        <v>МОС</v>
      </c>
      <c r="F14" s="292" t="str">
        <f>VLOOKUP(B14,'пр.взв.'!B1:H46,5,FALSE)</f>
        <v>Москва, ПР.</v>
      </c>
      <c r="G14" s="295">
        <f>VLOOKUP(B14,'пр.взв.'!B1:H46,6,FALSE)</f>
        <v>0</v>
      </c>
      <c r="H14" s="312" t="str">
        <f>VLOOKUP(B14,'пр.взв.'!B1:H141,7,FALSE)</f>
        <v>Гаджиев К.А., Елесин Н.А.</v>
      </c>
      <c r="J14" s="326" t="str">
        <f>MID(F14,FIND(,F14),3)</f>
        <v>Мос</v>
      </c>
      <c r="K14" s="326">
        <v>1</v>
      </c>
      <c r="L14" s="25">
        <v>9</v>
      </c>
      <c r="M14" s="21" t="s">
        <v>39</v>
      </c>
      <c r="N14" s="22">
        <f>SUMIF($J$4:$J$7,"р.б",$K$4:$K$7)</f>
        <v>0</v>
      </c>
      <c r="O14" s="22">
        <f>SUMIF($I$8:$J$9,"р.б",$K$6:$K$9)</f>
        <v>0</v>
      </c>
      <c r="P14" s="23">
        <f>SUMIF($J$10:$J$13,"р.б",$K$10:$K$13)</f>
        <v>0</v>
      </c>
      <c r="Q14" s="23">
        <f>SUMIF($J$14:$J$17,"р.б",$K$14:$K$17)</f>
        <v>0</v>
      </c>
      <c r="S14" s="26"/>
      <c r="T14" s="30"/>
      <c r="U14" s="27"/>
      <c r="V14" s="27"/>
      <c r="W14" s="28"/>
      <c r="X14" s="28"/>
    </row>
    <row r="15" spans="1:24" ht="15.75">
      <c r="A15" s="293"/>
      <c r="B15" s="289"/>
      <c r="C15" s="283"/>
      <c r="D15" s="285"/>
      <c r="E15" s="275"/>
      <c r="F15" s="292"/>
      <c r="G15" s="296"/>
      <c r="H15" s="313"/>
      <c r="J15" s="326"/>
      <c r="K15" s="326"/>
      <c r="L15" s="24">
        <v>10</v>
      </c>
      <c r="M15" s="21" t="s">
        <v>40</v>
      </c>
      <c r="N15" s="22">
        <f>SUMIF($J$4:$J$7,"р.х",$K$4:$K$7)</f>
        <v>0</v>
      </c>
      <c r="O15" s="22">
        <f>SUMIF($I$8:$J$9,"р.х",$K$6:$K$9)</f>
        <v>0</v>
      </c>
      <c r="P15" s="23">
        <f>SUMIF($J$10:$J$13,"р.х",$K$10:$K$13)</f>
        <v>0</v>
      </c>
      <c r="Q15" s="23">
        <f>SUMIF($J$14:$J$17,"р.х",$K$14:$K$17)</f>
        <v>0</v>
      </c>
      <c r="S15" s="29"/>
      <c r="T15" s="30"/>
      <c r="U15" s="27"/>
      <c r="V15" s="27"/>
      <c r="W15" s="28"/>
      <c r="X15" s="28"/>
    </row>
    <row r="16" spans="1:24" ht="12.75" customHeight="1">
      <c r="A16" s="293">
        <v>5</v>
      </c>
      <c r="B16" s="289">
        <f>'пр.хода'!AA26</f>
        <v>5</v>
      </c>
      <c r="C16" s="282" t="str">
        <f>VLOOKUP(B16,'пр.взв.'!B1:H48,2,FALSE)</f>
        <v>АГАЕВ Магомедбаг Гасанович</v>
      </c>
      <c r="D16" s="284" t="str">
        <f>VLOOKUP(B16,'пр.взв.'!B1:H141,3,FALSE)</f>
        <v>19.03.85, МС</v>
      </c>
      <c r="E16" s="273" t="str">
        <f>VLOOKUP(B16,'пр.взв.'!B1:H48,4,FALSE)</f>
        <v>С-П</v>
      </c>
      <c r="F16" s="292" t="str">
        <f>VLOOKUP(B16,'пр.взв.'!B1:H48,5,FALSE)</f>
        <v>Санкт-Петербург, ПР</v>
      </c>
      <c r="G16" s="295">
        <f>VLOOKUP(B16,'пр.взв.'!B1:H48,6,FALSE)</f>
        <v>0</v>
      </c>
      <c r="H16" s="312" t="str">
        <f>VLOOKUP(B16,'пр.взв.'!B1:H143,7,FALSE)</f>
        <v>Коршунов А.И.</v>
      </c>
      <c r="J16" s="326" t="str">
        <f>MID(F16,FIND(,F16),3)</f>
        <v>Сан</v>
      </c>
      <c r="K16" s="326">
        <v>1</v>
      </c>
      <c r="L16" s="25">
        <v>11</v>
      </c>
      <c r="M16" s="31" t="s">
        <v>41</v>
      </c>
      <c r="N16" s="22">
        <f>SUMIF($J$4:$J$7,"том",$K$4:$K$7)</f>
        <v>0</v>
      </c>
      <c r="O16" s="22">
        <f>SUMIF($I$8:$J$9,"том",$K$6:$K$9)</f>
        <v>0</v>
      </c>
      <c r="P16" s="23">
        <f>SUMIF($J$10:$J$13,"том",$K$10:$K$13)</f>
        <v>0</v>
      </c>
      <c r="Q16" s="23">
        <f>SUMIF($J$14:$J$17,"том",$K$14:$K$17)</f>
        <v>0</v>
      </c>
      <c r="S16" s="26"/>
      <c r="T16" s="32"/>
      <c r="U16" s="27"/>
      <c r="V16" s="27"/>
      <c r="W16" s="28"/>
      <c r="X16" s="28"/>
    </row>
    <row r="17" spans="1:24" ht="16.5" thickBot="1">
      <c r="A17" s="293"/>
      <c r="B17" s="289"/>
      <c r="C17" s="283"/>
      <c r="D17" s="285"/>
      <c r="E17" s="275"/>
      <c r="F17" s="292"/>
      <c r="G17" s="296"/>
      <c r="H17" s="313"/>
      <c r="J17" s="326"/>
      <c r="K17" s="326"/>
      <c r="L17" s="24">
        <v>12</v>
      </c>
      <c r="M17" s="31" t="s">
        <v>42</v>
      </c>
      <c r="N17" s="22">
        <f>SUMIF($J$4:$J$7,"",$K$4:$K$7)</f>
        <v>0</v>
      </c>
      <c r="O17" s="22">
        <f>SUMIF($I$8:$J$9,"т",$K$6:$K$9)</f>
        <v>0</v>
      </c>
      <c r="P17" s="23">
        <f>SUMIF($J$10:$J$13,"",$K$10:$K$13)</f>
        <v>0</v>
      </c>
      <c r="Q17" s="23">
        <f>SUMIF($J$14:$J$17,"",$K$14:$K$17)</f>
        <v>0</v>
      </c>
      <c r="S17" s="29"/>
      <c r="T17" s="32"/>
      <c r="U17" s="27"/>
      <c r="V17" s="27"/>
      <c r="W17" s="28"/>
      <c r="X17" s="28"/>
    </row>
    <row r="18" spans="1:24" ht="12.75" customHeight="1" thickBot="1">
      <c r="A18" s="294" t="s">
        <v>20</v>
      </c>
      <c r="B18" s="289">
        <f>'пр.хода'!AA27</f>
        <v>15</v>
      </c>
      <c r="C18" s="282" t="str">
        <f>VLOOKUP(B18,'пр.взв.'!B1:H50,2,FALSE)</f>
        <v>АНДРЮШКО Дмитрий Васильевич</v>
      </c>
      <c r="D18" s="284" t="str">
        <f>VLOOKUP(B18,'пр.взв.'!B1:H143,3,FALSE)</f>
        <v>20.01.92, КМС</v>
      </c>
      <c r="E18" s="273" t="str">
        <f>VLOOKUP(B18,'пр.взв.'!B1:H50,4,FALSE)</f>
        <v>СФО</v>
      </c>
      <c r="F18" s="292" t="str">
        <f>VLOOKUP(B18,'пр.взв.'!B1:H50,5,FALSE)</f>
        <v>Красноярский, Красноярск, МО</v>
      </c>
      <c r="G18" s="295">
        <f>VLOOKUP(B18,'пр.взв.'!B1:H50,6,FALSE)</f>
        <v>0</v>
      </c>
      <c r="H18" s="312" t="str">
        <f>VLOOKUP(B18,'пр.взв.'!B1:H145,7,FALSE)</f>
        <v>Трутнев П.В.Знаменский Г.Е.</v>
      </c>
      <c r="L18" s="33"/>
      <c r="M18" s="34"/>
      <c r="N18" s="35">
        <f>SUM(N6:N17)</f>
        <v>0</v>
      </c>
      <c r="O18" s="35">
        <f>SUM(O6:O17)</f>
        <v>0</v>
      </c>
      <c r="P18" s="35">
        <f>SUM(P6:P17)</f>
        <v>1</v>
      </c>
      <c r="Q18" s="35">
        <f>SUM(Q6:Q17)</f>
        <v>0</v>
      </c>
      <c r="S18" s="33"/>
      <c r="T18" s="34"/>
      <c r="U18" s="35">
        <f>SUM(U6:U17)</f>
        <v>1</v>
      </c>
      <c r="V18" s="35">
        <f>SUM(V6:V17)</f>
        <v>1</v>
      </c>
      <c r="W18" s="35">
        <f>SUM(W6:W17)</f>
        <v>2</v>
      </c>
      <c r="X18" s="35">
        <f>SUM(X6:X17)</f>
        <v>2</v>
      </c>
    </row>
    <row r="19" spans="1:8" ht="12.75">
      <c r="A19" s="294"/>
      <c r="B19" s="289"/>
      <c r="C19" s="283"/>
      <c r="D19" s="285"/>
      <c r="E19" s="275"/>
      <c r="F19" s="292"/>
      <c r="G19" s="296"/>
      <c r="H19" s="313"/>
    </row>
    <row r="20" spans="1:8" ht="12.75" customHeight="1">
      <c r="A20" s="294" t="s">
        <v>20</v>
      </c>
      <c r="B20" s="289">
        <f>'пр.хода'!AA28</f>
        <v>8</v>
      </c>
      <c r="C20" s="282" t="str">
        <f>VLOOKUP(B20,'пр.взв.'!B2:H52,2,FALSE)</f>
        <v>АРЕПЬЕВ Даниил Михайлович</v>
      </c>
      <c r="D20" s="284" t="str">
        <f>VLOOKUP(B20,'пр.взв.'!B2:H145,3,FALSE)</f>
        <v>26.02.90, КМС</v>
      </c>
      <c r="E20" s="273" t="str">
        <f>VLOOKUP(B20,'пр.взв.'!B2:H52,4,FALSE)</f>
        <v>ЦФО</v>
      </c>
      <c r="F20" s="292" t="str">
        <f>VLOOKUP(B20,'пр.взв.'!B2:H52,5,FALSE)</f>
        <v>Курская, Курск, МО</v>
      </c>
      <c r="G20" s="295">
        <f>VLOOKUP(B20,'пр.взв.'!B2:H52,6,FALSE)</f>
        <v>0</v>
      </c>
      <c r="H20" s="312" t="str">
        <f>VLOOKUP(B20,'пр.взв.'!B2:H147,7,FALSE)</f>
        <v>Конорев В.Н.</v>
      </c>
    </row>
    <row r="21" spans="1:8" ht="12.75">
      <c r="A21" s="294"/>
      <c r="B21" s="289"/>
      <c r="C21" s="283"/>
      <c r="D21" s="285"/>
      <c r="E21" s="275"/>
      <c r="F21" s="292"/>
      <c r="G21" s="296"/>
      <c r="H21" s="313"/>
    </row>
    <row r="22" spans="1:8" ht="12.75" customHeight="1">
      <c r="A22" s="294" t="s">
        <v>26</v>
      </c>
      <c r="B22" s="289">
        <f>'пр.хода'!Z25</f>
        <v>13</v>
      </c>
      <c r="C22" s="282" t="str">
        <f>VLOOKUP(B22,'пр.взв.'!B2:H54,2,FALSE)</f>
        <v>ЕГОРОВ Виктор Анатольевич</v>
      </c>
      <c r="D22" s="284" t="str">
        <f>VLOOKUP(B22,'пр.взв.'!B2:H147,3,FALSE)</f>
        <v>02.06.89, КМС</v>
      </c>
      <c r="E22" s="273" t="str">
        <f>VLOOKUP(B22,'пр.взв.'!B2:H54,4,FALSE)</f>
        <v>СФО</v>
      </c>
      <c r="F22" s="292" t="str">
        <f>VLOOKUP(B22,'пр.взв.'!B2:H54,5,FALSE)</f>
        <v>Р.Бурятия, У-Уде, МО</v>
      </c>
      <c r="G22" s="295">
        <f>VLOOKUP(B22,'пр.взв.'!B2:H54,6,FALSE)</f>
        <v>0</v>
      </c>
      <c r="H22" s="312" t="str">
        <f>VLOOKUP(B22,'пр.взв.'!B2:H149,7,FALSE)</f>
        <v>Цыдыпов Б.В., Жигжитов Б.С.</v>
      </c>
    </row>
    <row r="23" spans="1:8" ht="12.75">
      <c r="A23" s="294"/>
      <c r="B23" s="289"/>
      <c r="C23" s="283"/>
      <c r="D23" s="285"/>
      <c r="E23" s="275"/>
      <c r="F23" s="292"/>
      <c r="G23" s="296"/>
      <c r="H23" s="313"/>
    </row>
    <row r="24" spans="1:8" ht="12.75" customHeight="1">
      <c r="A24" s="294" t="s">
        <v>26</v>
      </c>
      <c r="B24" s="289">
        <f>'пр.хода'!Z26</f>
        <v>14</v>
      </c>
      <c r="C24" s="282" t="str">
        <f>VLOOKUP(B24,'пр.взв.'!B2:H56,2,FALSE)</f>
        <v>КРИГЕР Иван Иванович</v>
      </c>
      <c r="D24" s="284" t="str">
        <f>VLOOKUP(B24,'пр.взв.'!B2:H149,3,FALSE)</f>
        <v>05.11.88, МС</v>
      </c>
      <c r="E24" s="273" t="str">
        <f>VLOOKUP(B24,'пр.взв.'!B2:H56,4,FALSE)</f>
        <v>С-П</v>
      </c>
      <c r="F24" s="292" t="str">
        <f>VLOOKUP(B24,'пр.взв.'!B2:H56,5,FALSE)</f>
        <v>С-Петербург, МО</v>
      </c>
      <c r="G24" s="295">
        <f>VLOOKUP(B24,'пр.взв.'!B2:H56,6,FALSE)</f>
        <v>0</v>
      </c>
      <c r="H24" s="312" t="str">
        <f>VLOOKUP(B24,'пр.взв.'!B2:H151,7,FALSE)</f>
        <v>Костин А.В., Коршунов А.И.</v>
      </c>
    </row>
    <row r="25" spans="1:8" ht="12.75">
      <c r="A25" s="294"/>
      <c r="B25" s="289"/>
      <c r="C25" s="283"/>
      <c r="D25" s="285"/>
      <c r="E25" s="275"/>
      <c r="F25" s="292"/>
      <c r="G25" s="296"/>
      <c r="H25" s="313"/>
    </row>
    <row r="26" spans="1:8" ht="12.75" customHeight="1">
      <c r="A26" s="294" t="s">
        <v>26</v>
      </c>
      <c r="B26" s="289">
        <f>'пр.хода'!Z27</f>
        <v>11</v>
      </c>
      <c r="C26" s="282" t="str">
        <f>VLOOKUP(B26,'пр.взв.'!B2:H58,2,FALSE)</f>
        <v>КОВАЛЬЧУК Роман Валерьевич</v>
      </c>
      <c r="D26" s="284" t="str">
        <f>VLOOKUP(B26,'пр.взв.'!B2:H151,3,FALSE)</f>
        <v>20.03.93, КМС</v>
      </c>
      <c r="E26" s="273" t="str">
        <f>VLOOKUP(B26,'пр.взв.'!B2:H58,4,FALSE)</f>
        <v>ЮФО</v>
      </c>
      <c r="F26" s="292" t="str">
        <f>VLOOKUP(B26,'пр.взв.'!B2:H58,5,FALSE)</f>
        <v>Р.Адыгея, Майкоп, Д</v>
      </c>
      <c r="G26" s="295">
        <f>VLOOKUP(B26,'пр.взв.'!B2:H58,6,FALSE)</f>
        <v>0</v>
      </c>
      <c r="H26" s="312" t="str">
        <f>VLOOKUP(B26,'пр.взв.'!B2:H153,7,FALSE)</f>
        <v>Хапай А.Ю., Хапай Х.Ю.</v>
      </c>
    </row>
    <row r="27" spans="1:8" ht="12.75">
      <c r="A27" s="294"/>
      <c r="B27" s="289"/>
      <c r="C27" s="283"/>
      <c r="D27" s="285"/>
      <c r="E27" s="275"/>
      <c r="F27" s="292"/>
      <c r="G27" s="296"/>
      <c r="H27" s="313"/>
    </row>
    <row r="28" spans="1:8" ht="12.75">
      <c r="A28" s="294" t="s">
        <v>26</v>
      </c>
      <c r="B28" s="289">
        <f>'пр.хода'!Z28</f>
        <v>12</v>
      </c>
      <c r="C28" s="282" t="str">
        <f>VLOOKUP(B28,'пр.взв.'!B2:H60,2,FALSE)</f>
        <v>ГОНЧАРУК Роман Михайлович</v>
      </c>
      <c r="D28" s="284" t="str">
        <f>VLOOKUP(B28,'пр.взв.'!B2:H153,3,FALSE)</f>
        <v>24.06.93, МС</v>
      </c>
      <c r="E28" s="273" t="str">
        <f>VLOOKUP(B28,'пр.взв.'!B2:H60,4,FALSE)</f>
        <v>МОС</v>
      </c>
      <c r="F28" s="292" t="str">
        <f>VLOOKUP(B28,'пр.взв.'!B2:H60,5,FALSE)</f>
        <v>Москва, ПР</v>
      </c>
      <c r="G28" s="295">
        <f>VLOOKUP(B28,'пр.взв.'!B2:H60,6,FALSE)</f>
        <v>0</v>
      </c>
      <c r="H28" s="312" t="str">
        <f>VLOOKUP(B28,'пр.взв.'!B2:H155,7,FALSE)</f>
        <v>Журавицкий А.В., Журавицкий С.В.</v>
      </c>
    </row>
    <row r="29" spans="1:8" ht="12.75">
      <c r="A29" s="294"/>
      <c r="B29" s="289"/>
      <c r="C29" s="283"/>
      <c r="D29" s="285"/>
      <c r="E29" s="275"/>
      <c r="F29" s="292"/>
      <c r="G29" s="296"/>
      <c r="H29" s="313"/>
    </row>
    <row r="30" spans="1:8" ht="12.75">
      <c r="A30" s="294" t="s">
        <v>114</v>
      </c>
      <c r="B30" s="289">
        <f>'пр.хода'!Z29</f>
        <v>1</v>
      </c>
      <c r="C30" s="282" t="str">
        <f>VLOOKUP(B30,'пр.взв.'!B3:H62,2,FALSE)</f>
        <v>МАНУКЯН Гарник Норайрович</v>
      </c>
      <c r="D30" s="284" t="str">
        <f>VLOOKUP(B30,'пр.взв.'!B3:H155,3,FALSE)</f>
        <v>28.04.92, 1р</v>
      </c>
      <c r="E30" s="273" t="str">
        <f>VLOOKUP(B30,'пр.взв.'!B3:H62,4,FALSE)</f>
        <v>УФО</v>
      </c>
      <c r="F30" s="292" t="str">
        <f>VLOOKUP(B30,'пр.взв.'!B3:H62,5,FALSE)</f>
        <v>Свердловкая, Екатеренбург, МО</v>
      </c>
      <c r="G30" s="295">
        <f>VLOOKUP(B30,'пр.взв.'!B3:H62,6,FALSE)</f>
        <v>0</v>
      </c>
      <c r="H30" s="312" t="str">
        <f>VLOOKUP(B30,'пр.взв.'!B3:H157,7,FALSE)</f>
        <v>Макуха А.Н., Галиев В.З.</v>
      </c>
    </row>
    <row r="31" spans="1:8" ht="12.75">
      <c r="A31" s="294"/>
      <c r="B31" s="289"/>
      <c r="C31" s="283"/>
      <c r="D31" s="285"/>
      <c r="E31" s="275"/>
      <c r="F31" s="292"/>
      <c r="G31" s="296"/>
      <c r="H31" s="313"/>
    </row>
    <row r="32" spans="1:8" ht="12.75">
      <c r="A32" s="294" t="s">
        <v>114</v>
      </c>
      <c r="B32" s="289">
        <f>'пр.хода'!Z30</f>
        <v>10</v>
      </c>
      <c r="C32" s="282" t="str">
        <f>VLOOKUP(B32,'пр.взв.'!B3:H64,2,FALSE)</f>
        <v>МИШЕВ Тимофей Викторович</v>
      </c>
      <c r="D32" s="284" t="str">
        <f>VLOOKUP(B32,'пр.взв.'!B3:H157,3,FALSE)</f>
        <v>16.07.94, МС</v>
      </c>
      <c r="E32" s="273" t="str">
        <f>VLOOKUP(B32,'пр.взв.'!B3:H64,4,FALSE)</f>
        <v>МОС</v>
      </c>
      <c r="F32" s="292" t="str">
        <f>VLOOKUP(B32,'пр.взв.'!B3:H64,5,FALSE)</f>
        <v>Москва, ПР</v>
      </c>
      <c r="G32" s="295">
        <f>VLOOKUP(B32,'пр.взв.'!B3:H64,6,FALSE)</f>
        <v>0</v>
      </c>
      <c r="H32" s="312" t="str">
        <f>VLOOKUP(B32,'пр.взв.'!B3:H159,7,FALSE)</f>
        <v>Журавицкий А.В., Журавицкий С.В.</v>
      </c>
    </row>
    <row r="33" spans="1:8" ht="12.75">
      <c r="A33" s="294"/>
      <c r="B33" s="289"/>
      <c r="C33" s="283"/>
      <c r="D33" s="285"/>
      <c r="E33" s="275"/>
      <c r="F33" s="292"/>
      <c r="G33" s="296"/>
      <c r="H33" s="313"/>
    </row>
    <row r="34" spans="1:8" ht="12.75">
      <c r="A34" s="294" t="s">
        <v>114</v>
      </c>
      <c r="B34" s="289">
        <f>'пр.хода'!Z31</f>
        <v>7</v>
      </c>
      <c r="C34" s="291" t="str">
        <f>VLOOKUP(B34,'пр.взв.'!B3:H66,2,FALSE)</f>
        <v>АНИСИМОВ Михаил Сергеевич</v>
      </c>
      <c r="D34" s="284" t="str">
        <f>VLOOKUP(B34,'пр.взв.'!B3:H159,3,FALSE)</f>
        <v>16.07.82, КМС</v>
      </c>
      <c r="E34" s="273" t="str">
        <f>VLOOKUP(B34,'пр.взв.'!B3:H66,4,FALSE)</f>
        <v>СЗФО</v>
      </c>
      <c r="F34" s="292" t="str">
        <f>VLOOKUP(B34,'пр.взв.'!B3:H66,5,FALSE)</f>
        <v>Р.Карелия, ПР</v>
      </c>
      <c r="G34" s="295">
        <f>VLOOKUP(B34,'пр.взв.'!B3:H66,6,FALSE)</f>
        <v>0</v>
      </c>
      <c r="H34" s="312" t="str">
        <f>VLOOKUP(B34,'пр.взв.'!B3:H161,7,FALSE)</f>
        <v>Шегельман И.Р.</v>
      </c>
    </row>
    <row r="35" spans="1:8" ht="13.5" thickBot="1">
      <c r="A35" s="304"/>
      <c r="B35" s="305"/>
      <c r="C35" s="301"/>
      <c r="D35" s="303"/>
      <c r="E35" s="307"/>
      <c r="F35" s="308"/>
      <c r="G35" s="323"/>
      <c r="H35" s="318"/>
    </row>
    <row r="36" spans="1:8" ht="12.75" hidden="1">
      <c r="A36" s="297" t="s">
        <v>27</v>
      </c>
      <c r="B36" s="299">
        <f>'пр.хода'!Z32</f>
        <v>16</v>
      </c>
      <c r="C36" s="282" t="e">
        <f>VLOOKUP(B36,'пр.взв.'!B3:H68,2,FALSE)</f>
        <v>#N/A</v>
      </c>
      <c r="D36" s="302" t="e">
        <f>VLOOKUP(B36,'пр.взв.'!B3:H161,3,FALSE)</f>
        <v>#N/A</v>
      </c>
      <c r="E36" s="274" t="e">
        <f>VLOOKUP(B36,'пр.взв.'!B3:H68,4,FALSE)</f>
        <v>#N/A</v>
      </c>
      <c r="F36" s="182" t="e">
        <f>VLOOKUP(B36,'пр.взв.'!B3:H68,5,FALSE)</f>
        <v>#N/A</v>
      </c>
      <c r="G36" s="309" t="e">
        <f>VLOOKUP(B36,'пр.взв.'!B3:H68,6,FALSE)</f>
        <v>#N/A</v>
      </c>
      <c r="H36" s="316" t="e">
        <f>VLOOKUP(B36,'пр.взв.'!B3:H163,7,FALSE)</f>
        <v>#N/A</v>
      </c>
    </row>
    <row r="37" spans="1:8" ht="13.5" hidden="1" thickBot="1">
      <c r="A37" s="298"/>
      <c r="B37" s="300"/>
      <c r="C37" s="301"/>
      <c r="D37" s="303"/>
      <c r="E37" s="307"/>
      <c r="F37" s="308"/>
      <c r="G37" s="310"/>
      <c r="H37" s="318"/>
    </row>
    <row r="39" ht="20.25" customHeight="1"/>
    <row r="40" spans="1:7" ht="15">
      <c r="A40" s="8" t="str">
        <f>'[1]реквизиты'!$A$6</f>
        <v>Гл. судья, судья МК</v>
      </c>
      <c r="B40" s="9"/>
      <c r="C40" s="10"/>
      <c r="D40" s="12"/>
      <c r="E40" s="12"/>
      <c r="F40" s="12"/>
      <c r="G40" s="11" t="str">
        <f>'[1]реквизиты'!$G$7</f>
        <v>Н.Н.Малышев</v>
      </c>
    </row>
    <row r="41" spans="1:7" ht="15">
      <c r="A41" s="9"/>
      <c r="B41" s="9"/>
      <c r="C41" s="10"/>
      <c r="D41" s="12"/>
      <c r="E41" s="12"/>
      <c r="F41" s="12"/>
      <c r="G41" s="13" t="str">
        <f>'[1]реквизиты'!$G$8</f>
        <v>/г.Дубна/</v>
      </c>
    </row>
    <row r="42" spans="1:7" ht="15">
      <c r="A42" s="9"/>
      <c r="B42" s="9"/>
      <c r="C42" s="10"/>
      <c r="D42" s="12"/>
      <c r="E42" s="12"/>
      <c r="F42" s="12"/>
      <c r="G42" s="12"/>
    </row>
    <row r="43" spans="1:7" ht="15">
      <c r="A43" s="8" t="str">
        <f>'пр.хода'!A40</f>
        <v>Гл. секретарь, судья МК</v>
      </c>
      <c r="B43" s="9"/>
      <c r="C43" s="10"/>
      <c r="D43" s="12"/>
      <c r="E43" s="12"/>
      <c r="F43" s="12"/>
      <c r="G43" s="14" t="str">
        <f>'[1]реквизиты'!$G$9</f>
        <v>С.М.Трескин</v>
      </c>
    </row>
    <row r="44" spans="1:8" ht="15">
      <c r="A44" s="9"/>
      <c r="B44" s="9"/>
      <c r="C44" s="9"/>
      <c r="D44" s="12"/>
      <c r="E44" s="12"/>
      <c r="F44" s="12"/>
      <c r="G44" s="13" t="str">
        <f>'[1]реквизиты'!$G$10</f>
        <v>/г.Бийск/</v>
      </c>
      <c r="H44" s="2"/>
    </row>
    <row r="45" spans="4:7" ht="12.75">
      <c r="D45" s="1"/>
      <c r="E45" s="1"/>
      <c r="F45" s="1"/>
      <c r="G45" s="1"/>
    </row>
    <row r="46" spans="4:7" ht="12.75">
      <c r="D46" s="1"/>
      <c r="E46" s="1"/>
      <c r="F46" s="1"/>
      <c r="G46" s="1"/>
    </row>
    <row r="47" spans="4:7" ht="12.75">
      <c r="D47" s="1"/>
      <c r="E47" s="1"/>
      <c r="F47" s="1"/>
      <c r="G47" s="1"/>
    </row>
    <row r="48" spans="4:7" ht="12.75">
      <c r="D48" s="1"/>
      <c r="E48" s="1"/>
      <c r="F48" s="1"/>
      <c r="G48" s="1"/>
    </row>
    <row r="49" spans="4:7" ht="12.75">
      <c r="D49" s="1"/>
      <c r="E49" s="1"/>
      <c r="F49" s="1"/>
      <c r="G49" s="1"/>
    </row>
    <row r="50" spans="4:7" ht="12.75">
      <c r="D50" s="1"/>
      <c r="E50" s="1"/>
      <c r="F50" s="1"/>
      <c r="G50" s="1"/>
    </row>
    <row r="51" spans="4:7" ht="12.75">
      <c r="D51" s="1"/>
      <c r="E51" s="1"/>
      <c r="F51" s="1"/>
      <c r="G51" s="1"/>
    </row>
    <row r="52" spans="4:7" ht="12.75">
      <c r="D52" s="1"/>
      <c r="E52" s="1"/>
      <c r="F52" s="1"/>
      <c r="G52" s="1"/>
    </row>
    <row r="53" spans="4:7" ht="12.75">
      <c r="D53" s="1"/>
      <c r="E53" s="1"/>
      <c r="F53" s="1"/>
      <c r="G53" s="1"/>
    </row>
    <row r="54" spans="4:7" ht="12.75">
      <c r="D54" s="1"/>
      <c r="E54" s="1"/>
      <c r="F54" s="1"/>
      <c r="G54" s="1"/>
    </row>
  </sheetData>
  <sheetProtection/>
  <mergeCells count="159">
    <mergeCell ref="N4:Q4"/>
    <mergeCell ref="S4:S5"/>
    <mergeCell ref="T4:T5"/>
    <mergeCell ref="U4:X4"/>
    <mergeCell ref="J4:J5"/>
    <mergeCell ref="K4:K5"/>
    <mergeCell ref="L4:L5"/>
    <mergeCell ref="M4:M5"/>
    <mergeCell ref="J12:J13"/>
    <mergeCell ref="K12:K13"/>
    <mergeCell ref="J14:J15"/>
    <mergeCell ref="K14:K15"/>
    <mergeCell ref="J16:J17"/>
    <mergeCell ref="K16:K17"/>
    <mergeCell ref="J8:J9"/>
    <mergeCell ref="K8:K9"/>
    <mergeCell ref="J10:J11"/>
    <mergeCell ref="K10:K11"/>
    <mergeCell ref="J6:J7"/>
    <mergeCell ref="K6:K7"/>
    <mergeCell ref="B2:C2"/>
    <mergeCell ref="D2:H2"/>
    <mergeCell ref="B3:G3"/>
    <mergeCell ref="H30:H31"/>
    <mergeCell ref="H32:H33"/>
    <mergeCell ref="H34:H35"/>
    <mergeCell ref="G34:G35"/>
    <mergeCell ref="G6:G7"/>
    <mergeCell ref="G8:G9"/>
    <mergeCell ref="E6:E7"/>
    <mergeCell ref="H36:H37"/>
    <mergeCell ref="H22:H23"/>
    <mergeCell ref="H24:H25"/>
    <mergeCell ref="H26:H27"/>
    <mergeCell ref="H28:H29"/>
    <mergeCell ref="H20:H21"/>
    <mergeCell ref="A1:H1"/>
    <mergeCell ref="H12:H13"/>
    <mergeCell ref="H14:H15"/>
    <mergeCell ref="H16:H17"/>
    <mergeCell ref="H18:H19"/>
    <mergeCell ref="H4:H5"/>
    <mergeCell ref="H6:H7"/>
    <mergeCell ref="H8:H9"/>
    <mergeCell ref="H10:H11"/>
    <mergeCell ref="G4:G5"/>
    <mergeCell ref="G36:G37"/>
    <mergeCell ref="G26:G27"/>
    <mergeCell ref="G28:G29"/>
    <mergeCell ref="G30:G31"/>
    <mergeCell ref="G32:G33"/>
    <mergeCell ref="G18:G19"/>
    <mergeCell ref="G20:G21"/>
    <mergeCell ref="G22:G23"/>
    <mergeCell ref="G24:G25"/>
    <mergeCell ref="E36:E37"/>
    <mergeCell ref="F36:F37"/>
    <mergeCell ref="E32:E33"/>
    <mergeCell ref="F32:F33"/>
    <mergeCell ref="E34:E35"/>
    <mergeCell ref="F34:F35"/>
    <mergeCell ref="F6:F7"/>
    <mergeCell ref="E8:E9"/>
    <mergeCell ref="F8:F9"/>
    <mergeCell ref="E4:F5"/>
    <mergeCell ref="G10:G11"/>
    <mergeCell ref="G12:G13"/>
    <mergeCell ref="E12:E13"/>
    <mergeCell ref="F12:F13"/>
    <mergeCell ref="E10:E11"/>
    <mergeCell ref="F10:F11"/>
    <mergeCell ref="G14:G15"/>
    <mergeCell ref="G16:G17"/>
    <mergeCell ref="A36:A37"/>
    <mergeCell ref="B36:B37"/>
    <mergeCell ref="C36:C37"/>
    <mergeCell ref="D36:D37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8:A29"/>
    <mergeCell ref="B28:B29"/>
    <mergeCell ref="C28:C29"/>
    <mergeCell ref="D28:D29"/>
    <mergeCell ref="E20:E21"/>
    <mergeCell ref="F20:F21"/>
    <mergeCell ref="F22:F23"/>
    <mergeCell ref="A22:A23"/>
    <mergeCell ref="B22:B23"/>
    <mergeCell ref="C22:C23"/>
    <mergeCell ref="E30:E31"/>
    <mergeCell ref="F30:F31"/>
    <mergeCell ref="F26:F27"/>
    <mergeCell ref="F24:F25"/>
    <mergeCell ref="E28:E29"/>
    <mergeCell ref="F28:F29"/>
    <mergeCell ref="E26:E27"/>
    <mergeCell ref="E22:E23"/>
    <mergeCell ref="E24:E25"/>
    <mergeCell ref="A24:A25"/>
    <mergeCell ref="B24:B25"/>
    <mergeCell ref="C24:C25"/>
    <mergeCell ref="D24:D25"/>
    <mergeCell ref="A26:A27"/>
    <mergeCell ref="B26:B27"/>
    <mergeCell ref="C26:C27"/>
    <mergeCell ref="D26:D27"/>
    <mergeCell ref="A20:A21"/>
    <mergeCell ref="B20:B21"/>
    <mergeCell ref="C20:C21"/>
    <mergeCell ref="D20:D21"/>
    <mergeCell ref="D22:D23"/>
    <mergeCell ref="E18:E19"/>
    <mergeCell ref="F18:F19"/>
    <mergeCell ref="A16:A17"/>
    <mergeCell ref="B16:B17"/>
    <mergeCell ref="A18:A19"/>
    <mergeCell ref="B18:B19"/>
    <mergeCell ref="C18:C19"/>
    <mergeCell ref="D18:D19"/>
    <mergeCell ref="C16:C17"/>
    <mergeCell ref="D16:D17"/>
    <mergeCell ref="E14:E15"/>
    <mergeCell ref="F14:F15"/>
    <mergeCell ref="E16:E17"/>
    <mergeCell ref="F16:F17"/>
    <mergeCell ref="A14:A15"/>
    <mergeCell ref="B14:B15"/>
    <mergeCell ref="C14:C15"/>
    <mergeCell ref="D14:D15"/>
    <mergeCell ref="A12:A13"/>
    <mergeCell ref="B12:B13"/>
    <mergeCell ref="C12:C13"/>
    <mergeCell ref="D12:D13"/>
    <mergeCell ref="A8:A9"/>
    <mergeCell ref="B8:B9"/>
    <mergeCell ref="A10:A11"/>
    <mergeCell ref="B10:B11"/>
    <mergeCell ref="C10:C11"/>
    <mergeCell ref="D10:D11"/>
    <mergeCell ref="A4:A5"/>
    <mergeCell ref="B4:B5"/>
    <mergeCell ref="C4:C5"/>
    <mergeCell ref="D4:D5"/>
    <mergeCell ref="C8:C9"/>
    <mergeCell ref="D8:D9"/>
    <mergeCell ref="A6:A7"/>
    <mergeCell ref="B6:B7"/>
    <mergeCell ref="C6:C7"/>
    <mergeCell ref="D6:D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2016-02-10T13:01:17Z</cp:lastPrinted>
  <dcterms:created xsi:type="dcterms:W3CDTF">1996-10-08T23:32:33Z</dcterms:created>
  <dcterms:modified xsi:type="dcterms:W3CDTF">2016-02-10T15:24:46Z</dcterms:modified>
  <cp:category/>
  <cp:version/>
  <cp:contentType/>
  <cp:contentStatus/>
</cp:coreProperties>
</file>