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Пр.взв" sheetId="1" r:id="rId4"/>
    <sheet state="visible" name="Пр.хода" sheetId="2" r:id="rId5"/>
    <sheet state="visible" name="Фин" sheetId="3" r:id="rId6"/>
    <sheet state="visible" name="Ит.пр" sheetId="4" r:id="rId7"/>
    <sheet state="visible" name="Круги" sheetId="5" r:id="rId8"/>
    <sheet state="visible" name="Наг.лист" sheetId="6" r:id="rId9"/>
  </sheets>
  <definedNames>
    <definedName name="KR">'Пр.хода'!$BY$5:$BY$164</definedName>
  </definedNames>
  <calcPr/>
</workbook>
</file>

<file path=xl/sharedStrings.xml><?xml version="1.0" encoding="utf-8"?>
<sst xmlns="http://schemas.openxmlformats.org/spreadsheetml/2006/main" count="2049" uniqueCount="403">
  <si>
    <t>select Col1,Col3,Col4,Col5,Col6,Col10,Col12,Col13,Col14,Col15,Col16,Col17 WHERE Col1&gt;1</t>
  </si>
  <si>
    <t>ПРОТОКОЛ ВЗВЕШИВАНИЯ</t>
  </si>
  <si>
    <t>https://docs.google.com/spreadsheets/d/1V3qbzRNF-IPukkvvvaIVvM2Ma8sbsQAakprKnoA6l8A/edit#gid=847246518</t>
  </si>
  <si>
    <t>В.к.</t>
  </si>
  <si>
    <t>кг</t>
  </si>
  <si>
    <t>участников</t>
  </si>
  <si>
    <t>ЮНОШИ</t>
  </si>
  <si>
    <t>ВК</t>
  </si>
  <si>
    <t>№ п/п</t>
  </si>
  <si>
    <t>№ п/ж</t>
  </si>
  <si>
    <t>Ф.И.О.</t>
  </si>
  <si>
    <t>Дата рожд., разряд</t>
  </si>
  <si>
    <t>Разряд</t>
  </si>
  <si>
    <t>Округ, субъект, город, ведомство</t>
  </si>
  <si>
    <t>Субъект</t>
  </si>
  <si>
    <t>№ карточки</t>
  </si>
  <si>
    <t>Тренер</t>
  </si>
  <si>
    <t>ВОРОНЧИХИН  Ярослав</t>
  </si>
  <si>
    <t xml:space="preserve">ВОРОНЧИХИН  Ярослав Олегович </t>
  </si>
  <si>
    <t>30.09.04, КМС</t>
  </si>
  <si>
    <t>КМС</t>
  </si>
  <si>
    <t>ДВФО</t>
  </si>
  <si>
    <t>Амурская, Благовещенск , МО</t>
  </si>
  <si>
    <t>Амурская</t>
  </si>
  <si>
    <t>Магдыч М.В., Курашов В.И</t>
  </si>
  <si>
    <t>ЖАЛИЛОВ Даниил</t>
  </si>
  <si>
    <t>ЖАЛИЛОВ Даниил Наилевич</t>
  </si>
  <si>
    <t>28.03.04, КМС</t>
  </si>
  <si>
    <t>ПФО</t>
  </si>
  <si>
    <t>Нижегородская, Кстово, МО</t>
  </si>
  <si>
    <t>Нижегородская</t>
  </si>
  <si>
    <t>Душкин.А.Н</t>
  </si>
  <si>
    <t xml:space="preserve"> ЛАТЫНЦЕВ Родион</t>
  </si>
  <si>
    <t>ЛАТЫНЦЕВ Родион Витальевич</t>
  </si>
  <si>
    <t>28.06.05, КМС</t>
  </si>
  <si>
    <t>СЗФО</t>
  </si>
  <si>
    <t>Калининградская, Калининград, Д</t>
  </si>
  <si>
    <t>Калининградская</t>
  </si>
  <si>
    <t xml:space="preserve">Ярмолюк В. С., Ярмолюк Н. С. </t>
  </si>
  <si>
    <t>ОСМАНОВ  Анар</t>
  </si>
  <si>
    <t xml:space="preserve">ОСМАНОВ  Анар Заурович </t>
  </si>
  <si>
    <t>08.04.04, КМС</t>
  </si>
  <si>
    <t>УФО</t>
  </si>
  <si>
    <t>Свердловская, Екатеринбург , МС</t>
  </si>
  <si>
    <t>Свердловская</t>
  </si>
  <si>
    <t>Бородин СО, Бородин ОБ</t>
  </si>
  <si>
    <t xml:space="preserve">ЗАЙЦЕВ  Кирилл </t>
  </si>
  <si>
    <t xml:space="preserve">ЗАЙЦЕВ  Кирилл  Константинович </t>
  </si>
  <si>
    <t>02.02.04, КМС</t>
  </si>
  <si>
    <t>СФО</t>
  </si>
  <si>
    <t>Красноярский, Бородино , МС</t>
  </si>
  <si>
    <t>Красноярский</t>
  </si>
  <si>
    <t xml:space="preserve">Постоев С.А., Гусаров В.П. </t>
  </si>
  <si>
    <t xml:space="preserve">САМОСУДОВ  Руслан </t>
  </si>
  <si>
    <t xml:space="preserve">САМОСУДОВ  Руслан  Рустамович </t>
  </si>
  <si>
    <t>12.02.05, КМС</t>
  </si>
  <si>
    <t>Калининградская, Калининград, МО</t>
  </si>
  <si>
    <t>Мкртчян СР, Дуев М.А</t>
  </si>
  <si>
    <t xml:space="preserve">ЧЕРНОПЯТОВ  Иван </t>
  </si>
  <si>
    <t xml:space="preserve">ЧЕРНОПЯТОВ  Иван  Сергеевич </t>
  </si>
  <si>
    <t>22.01.04, КМС</t>
  </si>
  <si>
    <t>ЦФО</t>
  </si>
  <si>
    <t>Тульская, Тула, МО</t>
  </si>
  <si>
    <t>Тульская</t>
  </si>
  <si>
    <t>Ломиворотов Р.Н.</t>
  </si>
  <si>
    <t>ОСИПОВ Дмитрий</t>
  </si>
  <si>
    <t>ОСИПОВ Дмитрий Васильевич</t>
  </si>
  <si>
    <t>03.06.05, КМС</t>
  </si>
  <si>
    <t>МОС</t>
  </si>
  <si>
    <t>Москва, Москва , МС</t>
  </si>
  <si>
    <t>Москва</t>
  </si>
  <si>
    <t>Герасименко Д.В.</t>
  </si>
  <si>
    <t>ГАДЖИКЕРИМОВ  Ислам</t>
  </si>
  <si>
    <t xml:space="preserve">ГАДЖИКЕРИМОВ  Ислам Тарланович </t>
  </si>
  <si>
    <t>03.03.04, КМС</t>
  </si>
  <si>
    <t>СКФО</t>
  </si>
  <si>
    <t>Р.Дагестан, Дербент , МС</t>
  </si>
  <si>
    <t>Р.Дагестан</t>
  </si>
  <si>
    <t>Магомедов Р.И., Aхмедов Х.Т.</t>
  </si>
  <si>
    <t>98+</t>
  </si>
  <si>
    <t>ЧЕРКАСОВ Данила</t>
  </si>
  <si>
    <t xml:space="preserve">ЧЕРКАСОВ Данила Максимович </t>
  </si>
  <si>
    <t>03.04.05, КМС</t>
  </si>
  <si>
    <t>Саратовская, Балашов, МО</t>
  </si>
  <si>
    <t>Саратовская</t>
  </si>
  <si>
    <t>Дёмин А.А.</t>
  </si>
  <si>
    <t>&lt;3</t>
  </si>
  <si>
    <t>НЕДОБЕЖКИН Илья</t>
  </si>
  <si>
    <t>НЕДОБЕЖКИН Илья Денисович</t>
  </si>
  <si>
    <t>28.01.04, КМС</t>
  </si>
  <si>
    <t>СПБ</t>
  </si>
  <si>
    <t>Санкт-Петербург, Санкт-Петербург, ВС</t>
  </si>
  <si>
    <t>Санкт-Петербург</t>
  </si>
  <si>
    <t>Мехед СН</t>
  </si>
  <si>
    <t>ВОЕВОДКИН Роберт</t>
  </si>
  <si>
    <t xml:space="preserve">ВОЕВОДКИН Роберт Сергеевич </t>
  </si>
  <si>
    <t>20.05.05, КМС</t>
  </si>
  <si>
    <t>ЮФО</t>
  </si>
  <si>
    <t>Р.Крым, Ялта, МО</t>
  </si>
  <si>
    <t>Р.Крым</t>
  </si>
  <si>
    <t>Малов В.В  Григорян Д.Г</t>
  </si>
  <si>
    <t xml:space="preserve">МЕФОДИН Никита </t>
  </si>
  <si>
    <t xml:space="preserve">МЕФОДИН Никита  Андреевич </t>
  </si>
  <si>
    <t>06.05.05, 1р</t>
  </si>
  <si>
    <t>1р</t>
  </si>
  <si>
    <t>Рязанская, Рязань , ПР</t>
  </si>
  <si>
    <t>Рязанская</t>
  </si>
  <si>
    <t xml:space="preserve">Савельев Е.А., Фофанов К.Н. </t>
  </si>
  <si>
    <t>СТАШ Тагир</t>
  </si>
  <si>
    <t>СТАШ Тагир Рустамович</t>
  </si>
  <si>
    <t>18.02.04, КМС</t>
  </si>
  <si>
    <t>Р.Адыгея, Тахтамукай , МО</t>
  </si>
  <si>
    <t>Р.Адыгея</t>
  </si>
  <si>
    <t xml:space="preserve">Джаримок Р.Н. </t>
  </si>
  <si>
    <t xml:space="preserve">ЧИЧКОВ Дмитрий </t>
  </si>
  <si>
    <t>ЧИЧКОВ Дмитрий  Алексеевич</t>
  </si>
  <si>
    <t>06.02.05, КМС</t>
  </si>
  <si>
    <t>Московская, Ступино, МО</t>
  </si>
  <si>
    <t>Московская</t>
  </si>
  <si>
    <t>Егорова Р.В., Бирюков В.В.</t>
  </si>
  <si>
    <t>ПЭЛЫПИВ Никита</t>
  </si>
  <si>
    <t>ПЭЛЫПИВ Никита Николаевич</t>
  </si>
  <si>
    <t>23.06.04, КМС</t>
  </si>
  <si>
    <t>Разваляев СВ</t>
  </si>
  <si>
    <t xml:space="preserve">УШАКОВ  Глеб </t>
  </si>
  <si>
    <t xml:space="preserve">УШАКОВ  Глеб  Александрович </t>
  </si>
  <si>
    <t>03.10.06, КМС</t>
  </si>
  <si>
    <t>Ярославская, Рыбинск , МО</t>
  </si>
  <si>
    <t>Ярославская</t>
  </si>
  <si>
    <t>Хорев Ю.А., Федорович М.В.</t>
  </si>
  <si>
    <t>ПОЧИВАЛОВ Артём</t>
  </si>
  <si>
    <t>ПОЧИВАЛОВ Артём Дмитриевич</t>
  </si>
  <si>
    <t>17.06.04, КМС</t>
  </si>
  <si>
    <t>Пензенская, Пенза, МО</t>
  </si>
  <si>
    <t>Пензенская</t>
  </si>
  <si>
    <t>Батраков В.Е. Журавлёв А.И.</t>
  </si>
  <si>
    <t>МУХАМЕДРИЗАЕВ Рустам</t>
  </si>
  <si>
    <t>МУХАМЕДРИЗАЕВ Рустам Маратович</t>
  </si>
  <si>
    <t>11.02.04, 2р</t>
  </si>
  <si>
    <t>2р</t>
  </si>
  <si>
    <t>Москва, Москва, МС</t>
  </si>
  <si>
    <t xml:space="preserve">Гусаров Андрей Андреевич </t>
  </si>
  <si>
    <t>ХАЧАТРЯН Сос</t>
  </si>
  <si>
    <t>ХАЧАТРЯН Сос Арутюнович</t>
  </si>
  <si>
    <t>21.11.04, КМС</t>
  </si>
  <si>
    <t>Краснодарский, Армавир , ВС</t>
  </si>
  <si>
    <t>Краснодарский</t>
  </si>
  <si>
    <t>Псеунов Мурат Амербиевич</t>
  </si>
  <si>
    <t xml:space="preserve">РАСТОРГУЕВ  Владислав </t>
  </si>
  <si>
    <t xml:space="preserve">РАСТОРГУЕВ  Владислав  Юрьевич </t>
  </si>
  <si>
    <t>10.05.04, 1р</t>
  </si>
  <si>
    <t>Никитин А.М.</t>
  </si>
  <si>
    <t>НАПИДЖЕВ Рахман</t>
  </si>
  <si>
    <t>НАПИДЖЕВ Рахман Юрьевич</t>
  </si>
  <si>
    <t>20.11.04, 1р</t>
  </si>
  <si>
    <t>КЧР, Черкесск, ВС</t>
  </si>
  <si>
    <t>КЧР</t>
  </si>
  <si>
    <t>Абитов М.М.</t>
  </si>
  <si>
    <t>АБАЕВ Оразеддин</t>
  </si>
  <si>
    <t>АБАЕВ Оразеддин Шарафетдинович</t>
  </si>
  <si>
    <t>04.11.04, КМС</t>
  </si>
  <si>
    <t>Р.Татарстан, Казань, МС</t>
  </si>
  <si>
    <t>Р.Татарстан</t>
  </si>
  <si>
    <t>Зарипов А.А.</t>
  </si>
  <si>
    <t>КОБЕЛЕВ Никита</t>
  </si>
  <si>
    <t>КОБЕЛЕВ Никита Викторович</t>
  </si>
  <si>
    <t>02.06.05, 1р</t>
  </si>
  <si>
    <t>Алтайский, Барнаул, МС</t>
  </si>
  <si>
    <t>Алтайский</t>
  </si>
  <si>
    <t>Тюкин С.Г., Жданов В.В</t>
  </si>
  <si>
    <t xml:space="preserve">ФЕДУРОВ  Иван </t>
  </si>
  <si>
    <t xml:space="preserve">ФЕДУРОВ  Иван  Сергеевич </t>
  </si>
  <si>
    <t>11.07.05, 1р</t>
  </si>
  <si>
    <t>Рязанская, Рязань, ПР</t>
  </si>
  <si>
    <t xml:space="preserve">Фофанов К.Н , Савельев Е.А </t>
  </si>
  <si>
    <t>РЫБИН Павел</t>
  </si>
  <si>
    <t>РЫБИН Павел Русланович</t>
  </si>
  <si>
    <t>23.06.04, 1р</t>
  </si>
  <si>
    <t>Московская, Дмитров , Д</t>
  </si>
  <si>
    <t>Шорохов Д.И.</t>
  </si>
  <si>
    <t>МОКРУШНИКОВ Даниил</t>
  </si>
  <si>
    <t>МОКРУШНИКОВ Даниил Михайлович</t>
  </si>
  <si>
    <t>17.04.04, КМС</t>
  </si>
  <si>
    <t>Свердловская, Екатеринбург, МС</t>
  </si>
  <si>
    <t xml:space="preserve">Бородин О.Б., Коростелев А.Б. </t>
  </si>
  <si>
    <t>МЕЛКОНЯН  Аршак</t>
  </si>
  <si>
    <t xml:space="preserve">МЕЛКОНЯН  Аршак Эдгарович </t>
  </si>
  <si>
    <t>06.04.05, КМС</t>
  </si>
  <si>
    <t>Амурская, Благовещенск , ПР</t>
  </si>
  <si>
    <t>Богаденко Д.И</t>
  </si>
  <si>
    <t xml:space="preserve">ГАСЫМОВ  Аслан </t>
  </si>
  <si>
    <t xml:space="preserve">ГАСЫМОВ  Аслан  Сеймурович </t>
  </si>
  <si>
    <t>01.07.05, КМС</t>
  </si>
  <si>
    <t>Гусаров А.А., Клецков Н.В.</t>
  </si>
  <si>
    <t>ШАМШИН Егор</t>
  </si>
  <si>
    <t>ШАМШИН Егор Алексеевич</t>
  </si>
  <si>
    <t>10.11.05, КМС</t>
  </si>
  <si>
    <t>Нижегородская, кстово, МС</t>
  </si>
  <si>
    <t>Сурков С.Н</t>
  </si>
  <si>
    <t xml:space="preserve">АБРОСИМОВ  Данила </t>
  </si>
  <si>
    <t xml:space="preserve">АБРОСИМОВ  Данила  Игоревич </t>
  </si>
  <si>
    <t>30.08.04, КМС</t>
  </si>
  <si>
    <t>Савельев Е.А., Фофанов К.Н.</t>
  </si>
  <si>
    <t>АКСЕНОВ Артем</t>
  </si>
  <si>
    <t>АКСЕНОВ Артем Александрович</t>
  </si>
  <si>
    <t>16.03.04, КМС</t>
  </si>
  <si>
    <t>Калининградская, Калининград , МС</t>
  </si>
  <si>
    <t>Мкртчян С.Р.  Дуев М. А.</t>
  </si>
  <si>
    <t xml:space="preserve">АБДУЛМЕДЖИДОВ Ахмед </t>
  </si>
  <si>
    <t xml:space="preserve">АБДУЛМЕДЖИДОВ Ахмед  Ибрагимович </t>
  </si>
  <si>
    <t>20.05.04, КМС</t>
  </si>
  <si>
    <t>Москва, Москва , ВС</t>
  </si>
  <si>
    <t>Перепелюк А.А Леонтьев В.А</t>
  </si>
  <si>
    <t xml:space="preserve">ГУЦУЛ Владислав </t>
  </si>
  <si>
    <t xml:space="preserve">ГУЦУЛ Владислав  Олегович </t>
  </si>
  <si>
    <t>23.02.05, КМС</t>
  </si>
  <si>
    <t>Ярославская, Ярославль , МО</t>
  </si>
  <si>
    <t>Сапожников С.В , Викторов Р.А</t>
  </si>
  <si>
    <t>ИГНАТЕНКО Егор</t>
  </si>
  <si>
    <t>ИГНАТЕНКО Егор Сергеевич</t>
  </si>
  <si>
    <t>12.03.04, 1р</t>
  </si>
  <si>
    <t>Амурская, Благовещенск, МО</t>
  </si>
  <si>
    <t>Лунев П.Д</t>
  </si>
  <si>
    <t xml:space="preserve">ТРУБНИКОВ  Денис </t>
  </si>
  <si>
    <t xml:space="preserve">ТРУБНИКОВ  Денис  Дмитриевич </t>
  </si>
  <si>
    <t>14.05.04, 2р</t>
  </si>
  <si>
    <t>Свердловская, Екатеринбург , ЮР</t>
  </si>
  <si>
    <t>Печуров Е А, Львов ЕВ</t>
  </si>
  <si>
    <t>ШУРАЛЕВ Павел</t>
  </si>
  <si>
    <t>ШУРАЛЕВ Павел Александрович</t>
  </si>
  <si>
    <t>14.07.05, КМС</t>
  </si>
  <si>
    <t>Московская, Воскресенск, МО</t>
  </si>
  <si>
    <t xml:space="preserve">Баринова М.В.,Облезнева М.М. </t>
  </si>
  <si>
    <t>АЛИЕВ Руслан</t>
  </si>
  <si>
    <t>АЛИЕВ Руслан Мусаевич</t>
  </si>
  <si>
    <t>26.04.04, КМС</t>
  </si>
  <si>
    <t>Краснодарский, станица Старовеличковская, МС</t>
  </si>
  <si>
    <t>Евгеньева В.Э. Евгеньев Э.В.</t>
  </si>
  <si>
    <t>ВЫСКРЕБЕНЦЕВ  Семён</t>
  </si>
  <si>
    <t xml:space="preserve">ВЫСКРЕБЕНЦЕВ  Семён Евгеньевич </t>
  </si>
  <si>
    <t>13.04.05, 2р</t>
  </si>
  <si>
    <t>Москва, Москва, МО</t>
  </si>
  <si>
    <t>Мартынов М.Г</t>
  </si>
  <si>
    <t>ИБРАГИМОВ  Магомед</t>
  </si>
  <si>
    <t>ИБРАГИМОВ  Магомед Исаевич</t>
  </si>
  <si>
    <t>27.07.05, КМС</t>
  </si>
  <si>
    <t>Р.Дагестан, Махачкала, МС</t>
  </si>
  <si>
    <t>Магомедов М.А.</t>
  </si>
  <si>
    <t>КРЕЧЕТОВ  Никита</t>
  </si>
  <si>
    <t>КРЕЧЕТОВ  Никита Витальевич</t>
  </si>
  <si>
    <t>12.13.2004, КМС</t>
  </si>
  <si>
    <t>Самарская, Самара, СС</t>
  </si>
  <si>
    <t>Самарская</t>
  </si>
  <si>
    <t>Коновалов А.П.</t>
  </si>
  <si>
    <t>КОЗЫРЬ Ростислав</t>
  </si>
  <si>
    <t>КОЗЫРЬ Ростислав Дмитриевич</t>
  </si>
  <si>
    <t>28.06.04, КМС</t>
  </si>
  <si>
    <t>Малов В.В., Григорян Д.Г.</t>
  </si>
  <si>
    <t xml:space="preserve">ДМИТРИЕВ Сергей </t>
  </si>
  <si>
    <t>ДМИТРИЕВ Сергей  Александрович</t>
  </si>
  <si>
    <t>13.01.05, КМС</t>
  </si>
  <si>
    <t>Хлыбов ИЕ</t>
  </si>
  <si>
    <t>КОРОСТИЕНКО Денис</t>
  </si>
  <si>
    <t>КОРОСТИЕНКО Денис Витальевич</t>
  </si>
  <si>
    <t>30.08.05, КМС</t>
  </si>
  <si>
    <t>Хабаровский, Хабаровск, МС</t>
  </si>
  <si>
    <t>Хабаровский</t>
  </si>
  <si>
    <t>Золоторевич А.А.</t>
  </si>
  <si>
    <t>ДОЛАЕВ Тимур</t>
  </si>
  <si>
    <t>ДОЛАЕВ Тимур Магометович</t>
  </si>
  <si>
    <t>20.07.05, КМС</t>
  </si>
  <si>
    <t>Ставропольский, Ставрополь, Д</t>
  </si>
  <si>
    <t>Ставропольский</t>
  </si>
  <si>
    <t>Кишмахов Р.М.</t>
  </si>
  <si>
    <t>СЕМЕНОВ Богдан</t>
  </si>
  <si>
    <t>СЕМЕНОВ Богдан Витальевич</t>
  </si>
  <si>
    <t>17.01.05, КМС</t>
  </si>
  <si>
    <t>Пензенская, Заречный, МС</t>
  </si>
  <si>
    <t>Гритчин В.В., Мялькин В.В.</t>
  </si>
  <si>
    <t>ПРАВЕДНИКОВ Илья</t>
  </si>
  <si>
    <t>ПРАВЕДНИКОВ Илья Романович</t>
  </si>
  <si>
    <t>21.01.05, 1р</t>
  </si>
  <si>
    <t>Приморский, Владивосток , МО</t>
  </si>
  <si>
    <t>Приморский</t>
  </si>
  <si>
    <t>Шокель С. А.  Янов Д.В.</t>
  </si>
  <si>
    <t>ТУКСУМБАЕВ Артём</t>
  </si>
  <si>
    <t>ТУКСУМБАЕВ Артём Александрович</t>
  </si>
  <si>
    <t>12.05.04, КМС</t>
  </si>
  <si>
    <t>Тюкин С.Г. Жданов В.В.</t>
  </si>
  <si>
    <t>КИРИЯК Денис</t>
  </si>
  <si>
    <t>КИРИЯК Денис Александрович</t>
  </si>
  <si>
    <t>02.03.05, КМС</t>
  </si>
  <si>
    <t>Герасименко Д.В., Новосадов Е.Ф</t>
  </si>
  <si>
    <t>ХАКУЙ Ислам</t>
  </si>
  <si>
    <t>ХАКУЙ Ислам Моратович</t>
  </si>
  <si>
    <t>29.02.04, КМС</t>
  </si>
  <si>
    <t>Р.Адыгея, Майкоп, МО</t>
  </si>
  <si>
    <t xml:space="preserve">Делок А. А., Гомлешко А. А. </t>
  </si>
  <si>
    <t>ГОРШКОВ Фёдор</t>
  </si>
  <si>
    <t>ГОРШКОВ Фёдор Вадимович</t>
  </si>
  <si>
    <t>10.06.04, КМС</t>
  </si>
  <si>
    <t>Санкт-Петербург, Санкт-Петербург, СС</t>
  </si>
  <si>
    <t>Гасанов А.З., Алимов М.Г</t>
  </si>
  <si>
    <t>РУШЕВ Николай</t>
  </si>
  <si>
    <t>РУШЕВ Николай Владимирович</t>
  </si>
  <si>
    <t>09.09.04, КМС</t>
  </si>
  <si>
    <t>Гусаров А.А.  Клецков Н.В.</t>
  </si>
  <si>
    <t>ГОЛОВ Глеб</t>
  </si>
  <si>
    <t xml:space="preserve">ГОЛОВ Глеб Андреевич </t>
  </si>
  <si>
    <t>07.04.04, КМС</t>
  </si>
  <si>
    <t>Чувашская, Чебоксары , МС</t>
  </si>
  <si>
    <t>Чувашская</t>
  </si>
  <si>
    <t>Гусев О.М. Медведев В.Н</t>
  </si>
  <si>
    <t xml:space="preserve">ЛОГИНОВ  Владимир </t>
  </si>
  <si>
    <t xml:space="preserve">ЛОГИНОВ  Владимир  Владимирович </t>
  </si>
  <si>
    <t>12.10.05, КМС</t>
  </si>
  <si>
    <t>Саратовская, Энгельс, МО</t>
  </si>
  <si>
    <t>Никитин.А.П., Торосян.С.Р</t>
  </si>
  <si>
    <t>САМОЙЛОВ Иван</t>
  </si>
  <si>
    <t xml:space="preserve">САМОЙЛОВ Иван Иванович </t>
  </si>
  <si>
    <t>21.10.04, 1р</t>
  </si>
  <si>
    <t>Савельев Е.А Фофанов К.Н</t>
  </si>
  <si>
    <t>ГРУЗАН Денис</t>
  </si>
  <si>
    <t>ГРУЗАН Денис Олегович</t>
  </si>
  <si>
    <t>24.01.04, КМС</t>
  </si>
  <si>
    <t>Свердловская, Екатеринбург , ВС</t>
  </si>
  <si>
    <t xml:space="preserve">Селянина О.В, Федосеев М.Е </t>
  </si>
  <si>
    <t xml:space="preserve">ШВЕЦ Павел </t>
  </si>
  <si>
    <t xml:space="preserve">ШВЕЦ Павел  Николаевич </t>
  </si>
  <si>
    <t>05.08.04, 1р</t>
  </si>
  <si>
    <t>Брянская, Брянск, ЮР</t>
  </si>
  <si>
    <t>Брянская</t>
  </si>
  <si>
    <t>Михалин ИВ., Фукс А.И</t>
  </si>
  <si>
    <t xml:space="preserve">ШАРИПОВ Магомед-Шамиль </t>
  </si>
  <si>
    <t>ШАРИПОВ Магомед-Шамиль  Хайбулаевич</t>
  </si>
  <si>
    <t>01.04.05, КМС</t>
  </si>
  <si>
    <t>Магомедов</t>
  </si>
  <si>
    <t xml:space="preserve">                                     ВСЕРОССИЙСКАЯ ФЕДЕРАЦИЯ САМБО</t>
  </si>
  <si>
    <t>sambo.ru.com</t>
  </si>
  <si>
    <t>ПРОТОКОЛ ХОДА         ЮНОШИ</t>
  </si>
  <si>
    <t>Круги</t>
  </si>
  <si>
    <t>Круг выбытия</t>
  </si>
  <si>
    <t>очки</t>
  </si>
  <si>
    <t>место</t>
  </si>
  <si>
    <t>победы</t>
  </si>
  <si>
    <t>оч</t>
  </si>
  <si>
    <t>круги</t>
  </si>
  <si>
    <t>мин</t>
  </si>
  <si>
    <t>время</t>
  </si>
  <si>
    <t>2кр</t>
  </si>
  <si>
    <t>3кр</t>
  </si>
  <si>
    <t>4кр</t>
  </si>
  <si>
    <t>5кр</t>
  </si>
  <si>
    <t>6KP</t>
  </si>
  <si>
    <t>7KP</t>
  </si>
  <si>
    <t>8kp</t>
  </si>
  <si>
    <t>№</t>
  </si>
  <si>
    <t>пф</t>
  </si>
  <si>
    <t>фин</t>
  </si>
  <si>
    <t>1пф</t>
  </si>
  <si>
    <t>2пф</t>
  </si>
  <si>
    <t xml:space="preserve"> </t>
  </si>
  <si>
    <t/>
  </si>
  <si>
    <t>круг</t>
  </si>
  <si>
    <t>св</t>
  </si>
  <si>
    <t>Гл.судья, судья ВК</t>
  </si>
  <si>
    <t xml:space="preserve">Редин Д.А.
</t>
  </si>
  <si>
    <t>Гл.секретарь, судья ВК</t>
  </si>
  <si>
    <t>ПОЛУФИНАЛ</t>
  </si>
  <si>
    <t>ВСТРЕЧА 1</t>
  </si>
  <si>
    <t>Округ, регион</t>
  </si>
  <si>
    <t>Оценки</t>
  </si>
  <si>
    <t>Кол-во баллов</t>
  </si>
  <si>
    <t>Рез-т</t>
  </si>
  <si>
    <t>Время</t>
  </si>
  <si>
    <t>Руководитель ковра</t>
  </si>
  <si>
    <t>А</t>
  </si>
  <si>
    <t>Б</t>
  </si>
  <si>
    <t>ВСТРЕЧА 2</t>
  </si>
  <si>
    <t>ФИНАЛ</t>
  </si>
  <si>
    <t xml:space="preserve">                       ВСЕРОССИЙСКАЯ ФЕДЕРАЦИЯ САМБО</t>
  </si>
  <si>
    <t>ИТОГОВЫЙ ПРОТОКОЛ ЮНОШИ</t>
  </si>
  <si>
    <t>Ковер №</t>
  </si>
  <si>
    <t>СОСТАВ ПАР ПО КРУГАМ</t>
  </si>
  <si>
    <t>select BF</t>
  </si>
  <si>
    <t>КРУГ</t>
  </si>
  <si>
    <t>select BD</t>
  </si>
  <si>
    <t>select AY</t>
  </si>
  <si>
    <t>Д. р., разряд</t>
  </si>
  <si>
    <t>Вед., регион</t>
  </si>
  <si>
    <t>select AW</t>
  </si>
  <si>
    <t>select BA</t>
  </si>
  <si>
    <t>select BC</t>
  </si>
  <si>
    <t>select BE</t>
  </si>
  <si>
    <t>select BG</t>
  </si>
  <si>
    <t>select BB</t>
  </si>
  <si>
    <t>select BH</t>
  </si>
  <si>
    <t>НАГРАДНОЙ ЛИСТ ЮНОШИ</t>
  </si>
  <si>
    <t>I м</t>
  </si>
  <si>
    <t>II м</t>
  </si>
  <si>
    <t>III м</t>
  </si>
  <si>
    <t>Тренер победителя:</t>
  </si>
  <si>
    <t>Награждение проводят: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</si>
</sst>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5">
    <font>
      <sz val="10.0"/>
      <color rgb="FF000000"/>
      <name val="Arial"/>
    </font>
    <font>
      <sz val="11.0"/>
      <color rgb="FFFFFFFF"/>
      <name val="Inconsolata"/>
    </font>
    <font>
      <color rgb="FF000000"/>
      <name val="Roboto"/>
    </font>
    <font>
      <b/>
      <color theme="1"/>
      <name val="Arial"/>
    </font>
    <font>
      <u/>
      <color rgb="FF1155CC"/>
      <name val="Arial"/>
    </font>
    <font>
      <color rgb="FFFFFFFF"/>
      <name val="Arial"/>
    </font>
    <font>
      <color theme="1"/>
      <name val="Arial"/>
    </font>
    <font>
      <sz val="12.0"/>
      <color theme="1"/>
      <name val="Arial"/>
    </font>
    <font>
      <b/>
      <sz val="14.0"/>
      <color theme="1"/>
      <name val="&quot;Arial Narrow&quot;"/>
    </font>
    <font>
      <b/>
      <sz val="11.0"/>
      <color theme="1"/>
      <name val="Arial"/>
    </font>
    <font>
      <b/>
      <i/>
      <color theme="1"/>
      <name val="Arial"/>
    </font>
    <font>
      <sz val="11.0"/>
      <color rgb="FF7E3794"/>
      <name val="Inconsolata"/>
    </font>
    <font>
      <b/>
      <color theme="1"/>
      <name val="&quot;Arial Narrow&quot;"/>
    </font>
    <font>
      <b/>
      <color rgb="FFFF0000"/>
      <name val="&quot;Arial Narrow&quot;"/>
    </font>
    <font>
      <sz val="11.0"/>
      <color rgb="FF000000"/>
      <name val="Inconsolata"/>
    </font>
    <font>
      <color rgb="FFF3F3F3"/>
      <name val="Arial"/>
    </font>
    <font>
      <color theme="0"/>
      <name val="Arial"/>
    </font>
    <font>
      <color rgb="FF434343"/>
      <name val="Arial"/>
    </font>
    <font>
      <b/>
      <sz val="16.0"/>
      <color theme="1"/>
      <name val="CyrillicOld"/>
    </font>
    <font>
      <b/>
      <sz val="14.0"/>
      <color rgb="FFFF0000"/>
      <name val="Arial"/>
    </font>
    <font>
      <b/>
      <i/>
      <u/>
      <color rgb="FF1155CC"/>
      <name val="&quot;Arial Narrow&quot;"/>
    </font>
    <font>
      <b/>
      <i/>
      <sz val="14.0"/>
      <color theme="1"/>
      <name val="Arial Narrow"/>
    </font>
    <font/>
    <font>
      <b/>
      <sz val="14.0"/>
      <color theme="1"/>
      <name val="Arial Narrow"/>
    </font>
    <font>
      <sz val="11.0"/>
      <color rgb="FF434343"/>
      <name val="Inconsolata"/>
    </font>
    <font>
      <sz val="14.0"/>
      <color theme="1"/>
      <name val="Arial"/>
    </font>
    <font>
      <b/>
      <sz val="12.0"/>
      <color theme="1"/>
      <name val="Arial"/>
    </font>
    <font>
      <sz val="11.0"/>
      <color theme="1"/>
      <name val="Arial"/>
    </font>
    <font>
      <i/>
      <u/>
      <sz val="11.0"/>
      <color theme="1"/>
      <name val="Arial"/>
    </font>
    <font>
      <color theme="1"/>
      <name val="&quot;Century Gothic&quot;"/>
    </font>
    <font>
      <b/>
      <sz val="8.0"/>
      <color theme="1"/>
      <name val="&quot;Arial Narrow&quot;"/>
    </font>
    <font>
      <b/>
      <sz val="9.0"/>
      <color theme="1"/>
      <name val="&quot;Arial Narrow&quot;"/>
    </font>
    <font>
      <b/>
      <sz val="12.0"/>
      <color theme="1"/>
      <name val="&quot;Century Gothic&quot;"/>
    </font>
    <font>
      <b/>
      <sz val="11.0"/>
      <color theme="1"/>
      <name val="Arial Narrow"/>
    </font>
    <font>
      <b/>
      <color theme="1"/>
      <name val="&quot;Century Gothic&quot;"/>
    </font>
    <font>
      <sz val="9.0"/>
      <color theme="1"/>
      <name val="&quot;Arial Narrow&quot;"/>
    </font>
    <font>
      <sz val="10.0"/>
      <color theme="1"/>
      <name val="&quot;Arial Narrow&quot;"/>
    </font>
    <font>
      <color theme="1"/>
      <name val="&quot;Arial Narrow&quot;"/>
    </font>
    <font>
      <color rgb="FF000000"/>
      <name val="&quot;Century Gothic&quot;"/>
    </font>
    <font>
      <sz val="11.0"/>
      <color rgb="FF000000"/>
      <name val="Arial Narrow"/>
    </font>
    <font>
      <color rgb="FFFFFFFF"/>
      <name val="&quot;Century Gothic&quot;"/>
    </font>
    <font>
      <sz val="8.0"/>
      <color theme="1"/>
      <name val="&quot;Arial Narrow&quot;"/>
    </font>
    <font>
      <color theme="0"/>
      <name val="&quot;Century Gothic&quot;"/>
    </font>
    <font>
      <sz val="11.0"/>
      <color theme="0"/>
      <name val="Inconsolata"/>
    </font>
    <font>
      <sz val="11.0"/>
      <color rgb="FF000000"/>
      <name val="Arial"/>
    </font>
    <font>
      <color rgb="FF8DB4E2"/>
      <name val="&quot;Century Gothic&quot;"/>
    </font>
    <font>
      <color rgb="FFFF0000"/>
      <name val="&quot;Century Gothic&quot;"/>
    </font>
    <font>
      <b/>
      <color rgb="FFFFFFFF"/>
      <name val="&quot;Arial Narrow&quot;"/>
    </font>
    <font>
      <color rgb="FF000000"/>
      <name val="Arial"/>
    </font>
    <font>
      <b/>
      <i/>
      <sz val="11.0"/>
      <color theme="1"/>
      <name val="&quot;Arial Narrow&quot;"/>
    </font>
    <font>
      <sz val="11.0"/>
      <color theme="1"/>
      <name val="&quot;Arial Narrow&quot;"/>
    </font>
    <font>
      <b/>
      <sz val="12.0"/>
      <color theme="1"/>
      <name val="&quot;Arial Narrow&quot;"/>
    </font>
    <font>
      <sz val="12.0"/>
      <color theme="1"/>
      <name val="&quot;Arial Narrow&quot;"/>
    </font>
    <font>
      <sz val="11.0"/>
      <color theme="1"/>
      <name val="Arial Narrow"/>
    </font>
    <font>
      <b/>
      <sz val="14.0"/>
      <color theme="1"/>
      <name val="Arial"/>
    </font>
    <font>
      <sz val="14.0"/>
      <color theme="1"/>
      <name val="&quot;Arial Narrow&quot;"/>
    </font>
    <font>
      <b/>
      <sz val="20.0"/>
      <color theme="1"/>
      <name val="&quot;Arial Narrow&quot;"/>
    </font>
    <font>
      <b/>
      <sz val="12.0"/>
      <color theme="1"/>
      <name val="Arial Narrow"/>
    </font>
    <font>
      <sz val="12.0"/>
      <color theme="1"/>
      <name val="Arial Narrow"/>
    </font>
    <font>
      <b/>
      <sz val="12.0"/>
      <color rgb="FFFF0000"/>
      <name val="Arial"/>
    </font>
    <font>
      <b/>
      <i/>
      <sz val="14.0"/>
      <color theme="1"/>
      <name val="Arial"/>
    </font>
    <font>
      <b/>
      <sz val="14.0"/>
      <color theme="1"/>
      <name val="&quot;Century Gothic&quot;"/>
    </font>
    <font>
      <b/>
      <color rgb="FF9C0006"/>
      <name val="Arial"/>
    </font>
    <font>
      <sz val="12.0"/>
      <color theme="1"/>
      <name val="&quot;Century Gothic&quot;"/>
    </font>
    <font>
      <sz val="10.0"/>
      <color theme="1"/>
      <name val="Arial"/>
    </font>
    <font>
      <sz val="11.0"/>
      <color rgb="FFFFFFFF"/>
      <name val="Arial"/>
    </font>
    <font>
      <sz val="11.0"/>
      <color theme="0"/>
      <name val="Arial"/>
    </font>
    <font>
      <sz val="6.0"/>
      <color rgb="FFFFFFFF"/>
      <name val="Arial Narrow"/>
    </font>
    <font>
      <sz val="6.0"/>
      <color theme="0"/>
      <name val="Arial Narrow"/>
    </font>
    <font>
      <b/>
      <i/>
      <sz val="18.0"/>
      <color theme="1"/>
      <name val="&quot;Arial Narrow&quot;"/>
    </font>
    <font>
      <b/>
      <sz val="14.0"/>
      <color rgb="FFFFFFFF"/>
      <name val="&quot;Arial Narrow&quot;"/>
    </font>
    <font>
      <b/>
      <sz val="24.0"/>
      <color rgb="FFFFFFFF"/>
      <name val="Arial"/>
    </font>
    <font>
      <b/>
      <sz val="14.0"/>
      <color rgb="FF000000"/>
      <name val="Arial"/>
    </font>
    <font>
      <color rgb="FFFF0000"/>
      <name val="Arial"/>
    </font>
    <font>
      <sz val="14.0"/>
      <color rgb="FF000000"/>
      <name val="Inconsolata"/>
    </font>
  </fonts>
  <fills count="2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0000"/>
        <bgColor rgb="FFFF0000"/>
      </patternFill>
    </fill>
    <fill>
      <patternFill patternType="solid">
        <fgColor rgb="FFBDBDBD"/>
        <bgColor rgb="FFBDBDBD"/>
      </patternFill>
    </fill>
    <fill>
      <patternFill patternType="solid">
        <fgColor rgb="FFFFFF00"/>
        <bgColor rgb="FFFFFF00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theme="0"/>
      </patternFill>
    </fill>
    <fill>
      <patternFill patternType="solid">
        <fgColor rgb="FFD9D9D9"/>
        <bgColor rgb="FFD9D9D9"/>
      </patternFill>
    </fill>
    <fill>
      <patternFill patternType="solid">
        <fgColor rgb="FFB6D7A8"/>
        <bgColor rgb="FFB6D7A8"/>
      </patternFill>
    </fill>
    <fill>
      <patternFill patternType="solid">
        <fgColor rgb="FFDDD9C4"/>
        <bgColor rgb="FFDDD9C4"/>
      </patternFill>
    </fill>
    <fill>
      <patternFill patternType="solid">
        <fgColor rgb="FFEA9999"/>
        <bgColor rgb="FFEA9999"/>
      </patternFill>
    </fill>
    <fill>
      <patternFill patternType="solid">
        <fgColor rgb="FFFFC000"/>
        <bgColor rgb="FFFFC000"/>
      </patternFill>
    </fill>
    <fill>
      <patternFill patternType="solid">
        <fgColor rgb="FF00FF00"/>
        <bgColor rgb="FF00FF00"/>
      </patternFill>
    </fill>
    <fill>
      <patternFill patternType="solid">
        <fgColor rgb="FFF3F3F3"/>
        <bgColor rgb="FFF3F3F3"/>
      </patternFill>
    </fill>
    <fill>
      <patternFill patternType="solid">
        <fgColor rgb="FFEAD1DC"/>
        <bgColor rgb="FFEAD1DC"/>
      </patternFill>
    </fill>
    <fill>
      <patternFill patternType="solid">
        <fgColor rgb="FFD5A6BD"/>
        <bgColor rgb="FFD5A6BD"/>
      </patternFill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00FFFF"/>
        <bgColor rgb="FF00FFFF"/>
      </patternFill>
    </fill>
    <fill>
      <patternFill patternType="solid">
        <fgColor rgb="FFF4F6F8"/>
        <bgColor rgb="FFF4F6F8"/>
      </patternFill>
    </fill>
    <fill>
      <patternFill patternType="solid">
        <fgColor rgb="FFDAEEF3"/>
        <bgColor rgb="FFDAEEF3"/>
      </patternFill>
    </fill>
    <fill>
      <patternFill patternType="solid">
        <fgColor rgb="FFCCFFFF"/>
        <bgColor rgb="FFCCFFFF"/>
      </patternFill>
    </fill>
    <fill>
      <patternFill patternType="solid">
        <fgColor rgb="FF0000FF"/>
        <bgColor rgb="FF0000FF"/>
      </patternFill>
    </fill>
    <fill>
      <patternFill patternType="solid">
        <fgColor rgb="FF008000"/>
        <bgColor rgb="FF008000"/>
      </patternFill>
    </fill>
  </fills>
  <borders count="60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bottom style="double">
        <color rgb="FF000000"/>
      </bottom>
    </border>
    <border>
      <bottom style="double">
        <color rgb="FF000000"/>
      </bottom>
    </border>
    <border>
      <right style="thin">
        <color rgb="FF000000"/>
      </right>
      <bottom style="double">
        <color rgb="FF000000"/>
      </bottom>
    </border>
    <border>
      <left style="thin">
        <color rgb="FF000000"/>
      </left>
      <bottom style="double">
        <color rgb="FF000000"/>
      </bottom>
    </border>
    <border>
      <left style="medium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</border>
    <border>
      <left style="medium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86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/>
    </xf>
    <xf borderId="0" fillId="2" fontId="2" numFmtId="0" xfId="0" applyAlignment="1" applyFont="1">
      <alignment readingOrder="0"/>
    </xf>
    <xf borderId="0" fillId="0" fontId="3" numFmtId="0" xfId="0" applyAlignment="1" applyFont="1">
      <alignment horizontal="center" vertical="bottom"/>
    </xf>
    <xf borderId="0" fillId="3" fontId="4" numFmtId="0" xfId="0" applyAlignment="1" applyFill="1" applyFont="1">
      <alignment readingOrder="0" vertical="bottom"/>
    </xf>
    <xf borderId="0" fillId="0" fontId="5" numFmtId="0" xfId="0" applyAlignment="1" applyFont="1">
      <alignment horizontal="right" vertical="bottom"/>
    </xf>
    <xf borderId="0" fillId="0" fontId="6" numFmtId="0" xfId="0" applyAlignment="1" applyFont="1">
      <alignment vertical="bottom"/>
    </xf>
    <xf borderId="0" fillId="0" fontId="7" numFmtId="0" xfId="0" applyAlignment="1" applyFont="1">
      <alignment horizontal="center" shrinkToFit="0" vertical="bottom" wrapText="1"/>
    </xf>
    <xf borderId="1" fillId="0" fontId="8" numFmtId="0" xfId="0" applyAlignment="1" applyBorder="1" applyFont="1">
      <alignment horizontal="center" readingOrder="0" vertical="center"/>
    </xf>
    <xf borderId="0" fillId="0" fontId="5" numFmtId="0" xfId="0" applyAlignment="1" applyFont="1">
      <alignment vertical="bottom"/>
    </xf>
    <xf borderId="0" fillId="0" fontId="6" numFmtId="0" xfId="0" applyAlignment="1" applyFont="1">
      <alignment horizontal="center" vertical="bottom"/>
    </xf>
    <xf borderId="0" fillId="0" fontId="6" numFmtId="0" xfId="0" applyAlignment="1" applyFont="1">
      <alignment readingOrder="0" vertical="bottom"/>
    </xf>
    <xf borderId="0" fillId="2" fontId="2" numFmtId="0" xfId="0" applyAlignment="1" applyFont="1">
      <alignment readingOrder="0" shrinkToFit="0" wrapText="0"/>
    </xf>
    <xf borderId="0" fillId="0" fontId="9" numFmtId="0" xfId="0" applyAlignment="1" applyFont="1">
      <alignment horizontal="center" vertical="bottom"/>
    </xf>
    <xf borderId="2" fillId="0" fontId="10" numFmtId="0" xfId="0" applyAlignment="1" applyBorder="1" applyFont="1">
      <alignment readingOrder="0" vertical="bottom"/>
    </xf>
    <xf borderId="0" fillId="2" fontId="11" numFmtId="0" xfId="0" applyAlignment="1" applyFont="1">
      <alignment readingOrder="0" shrinkToFit="0" wrapText="0"/>
    </xf>
    <xf borderId="3" fillId="4" fontId="12" numFmtId="0" xfId="0" applyAlignment="1" applyBorder="1" applyFill="1" applyFont="1">
      <alignment horizontal="center" vertical="center"/>
    </xf>
    <xf borderId="4" fillId="4" fontId="12" numFmtId="0" xfId="0" applyAlignment="1" applyBorder="1" applyFont="1">
      <alignment horizontal="center" vertical="center"/>
    </xf>
    <xf borderId="4" fillId="4" fontId="12" numFmtId="0" xfId="0" applyAlignment="1" applyBorder="1" applyFont="1">
      <alignment horizontal="center" shrinkToFit="0" vertical="center" wrapText="1"/>
    </xf>
    <xf borderId="4" fillId="4" fontId="13" numFmtId="0" xfId="0" applyAlignment="1" applyBorder="1" applyFont="1">
      <alignment horizontal="center" shrinkToFit="0" vertical="center" wrapText="1"/>
    </xf>
    <xf borderId="4" fillId="4" fontId="3" numFmtId="0" xfId="0" applyAlignment="1" applyBorder="1" applyFont="1">
      <alignment horizontal="center" vertical="center"/>
    </xf>
    <xf borderId="4" fillId="4" fontId="12" numFmtId="0" xfId="0" applyAlignment="1" applyBorder="1" applyFont="1">
      <alignment horizontal="center" readingOrder="0" shrinkToFit="0" vertical="center" wrapText="1"/>
    </xf>
    <xf borderId="4" fillId="4" fontId="3" numFmtId="0" xfId="0" applyAlignment="1" applyBorder="1" applyFont="1">
      <alignment horizontal="left" shrinkToFit="0" vertical="center" wrapText="0"/>
    </xf>
    <xf borderId="4" fillId="4" fontId="6" numFmtId="0" xfId="0" applyAlignment="1" applyBorder="1" applyFont="1">
      <alignment horizontal="center" vertical="center"/>
    </xf>
    <xf borderId="5" fillId="4" fontId="12" numFmtId="0" xfId="0" applyAlignment="1" applyBorder="1" applyFont="1">
      <alignment horizontal="center" shrinkToFit="0" vertical="center" wrapText="0"/>
    </xf>
    <xf borderId="0" fillId="2" fontId="14" numFmtId="0" xfId="0" applyFont="1"/>
    <xf borderId="6" fillId="5" fontId="6" numFmtId="0" xfId="0" applyAlignment="1" applyBorder="1" applyFill="1" applyFont="1">
      <alignment horizontal="center" vertical="bottom"/>
    </xf>
    <xf borderId="6" fillId="0" fontId="6" numFmtId="0" xfId="0" applyAlignment="1" applyBorder="1" applyFont="1">
      <alignment readingOrder="0" vertical="bottom"/>
    </xf>
    <xf borderId="6" fillId="0" fontId="6" numFmtId="0" xfId="0" applyAlignment="1" applyBorder="1" applyFont="1">
      <alignment vertical="bottom"/>
    </xf>
    <xf borderId="7" fillId="0" fontId="6" numFmtId="0" xfId="0" applyAlignment="1" applyBorder="1" applyFont="1">
      <alignment readingOrder="0" shrinkToFit="0" vertical="bottom" wrapText="0"/>
    </xf>
    <xf borderId="0" fillId="6" fontId="15" numFmtId="0" xfId="0" applyAlignment="1" applyFill="1" applyFont="1">
      <alignment readingOrder="0" vertical="bottom"/>
    </xf>
    <xf borderId="0" fillId="0" fontId="16" numFmtId="0" xfId="0" applyAlignment="1" applyFont="1">
      <alignment vertical="bottom"/>
    </xf>
    <xf borderId="0" fillId="2" fontId="17" numFmtId="0" xfId="0" applyAlignment="1" applyFont="1">
      <alignment horizontal="right" vertical="bottom"/>
    </xf>
    <xf borderId="7" fillId="0" fontId="6" numFmtId="0" xfId="0" applyAlignment="1" applyBorder="1" applyFont="1">
      <alignment vertical="bottom"/>
    </xf>
    <xf borderId="7" fillId="0" fontId="6" numFmtId="0" xfId="0" applyAlignment="1" applyBorder="1" applyFont="1">
      <alignment readingOrder="0" vertical="bottom"/>
    </xf>
    <xf borderId="0" fillId="0" fontId="16" numFmtId="0" xfId="0" applyAlignment="1" applyFont="1">
      <alignment horizontal="right" vertical="bottom"/>
    </xf>
    <xf borderId="7" fillId="0" fontId="6" numFmtId="0" xfId="0" applyAlignment="1" applyBorder="1" applyFont="1">
      <alignment readingOrder="0" vertical="bottom"/>
    </xf>
    <xf borderId="7" fillId="0" fontId="6" numFmtId="0" xfId="0" applyAlignment="1" applyBorder="1" applyFont="1">
      <alignment horizontal="center" vertical="bottom"/>
    </xf>
    <xf borderId="0" fillId="0" fontId="6" numFmtId="0" xfId="0" applyAlignment="1" applyFont="1">
      <alignment readingOrder="0" shrinkToFit="0" vertical="bottom" wrapText="0"/>
    </xf>
    <xf borderId="7" fillId="0" fontId="6" numFmtId="0" xfId="0" applyAlignment="1" applyBorder="1" applyFont="1">
      <alignment shrinkToFit="0" wrapText="0"/>
    </xf>
    <xf borderId="0" fillId="0" fontId="16" numFmtId="0" xfId="0" applyFont="1"/>
    <xf borderId="0" fillId="0" fontId="6" numFmtId="0" xfId="0" applyAlignment="1" applyFont="1">
      <alignment shrinkToFit="0" wrapText="0"/>
    </xf>
    <xf borderId="0" fillId="0" fontId="18" numFmtId="0" xfId="0" applyAlignment="1" applyFont="1">
      <alignment shrinkToFit="0" wrapText="0"/>
    </xf>
    <xf borderId="0" fillId="0" fontId="19" numFmtId="0" xfId="0" applyAlignment="1" applyFont="1">
      <alignment horizontal="center"/>
    </xf>
    <xf borderId="0" fillId="0" fontId="20" numFmtId="0" xfId="0" applyAlignment="1" applyFont="1">
      <alignment horizontal="right" vertical="top"/>
    </xf>
    <xf borderId="0" fillId="0" fontId="6" numFmtId="49" xfId="0" applyAlignment="1" applyFont="1" applyNumberFormat="1">
      <alignment shrinkToFit="0" vertical="bottom" wrapText="0"/>
    </xf>
    <xf borderId="8" fillId="0" fontId="6" numFmtId="0" xfId="0" applyAlignment="1" applyBorder="1" applyFont="1">
      <alignment horizontal="left" shrinkToFit="0" vertical="bottom" wrapText="0"/>
    </xf>
    <xf borderId="8" fillId="0" fontId="6" numFmtId="0" xfId="0" applyAlignment="1" applyBorder="1" applyFont="1">
      <alignment shrinkToFit="0" vertical="bottom" wrapText="0"/>
    </xf>
    <xf borderId="0" fillId="0" fontId="6" numFmtId="0" xfId="0" applyAlignment="1" applyFont="1">
      <alignment horizontal="left" shrinkToFit="0" vertical="bottom" wrapText="0"/>
    </xf>
    <xf borderId="0" fillId="0" fontId="6" numFmtId="0" xfId="0" applyAlignment="1" applyFont="1">
      <alignment shrinkToFit="0" vertical="bottom" wrapText="0"/>
    </xf>
    <xf borderId="0" fillId="2" fontId="6" numFmtId="0" xfId="0" applyAlignment="1" applyFont="1">
      <alignment shrinkToFit="0" vertical="bottom" wrapText="0"/>
    </xf>
    <xf borderId="0" fillId="5" fontId="6" numFmtId="0" xfId="0" applyAlignment="1" applyFont="1">
      <alignment readingOrder="0" shrinkToFit="0" vertical="bottom" wrapText="0"/>
    </xf>
    <xf borderId="0" fillId="7" fontId="6" numFmtId="0" xfId="0" applyAlignment="1" applyFill="1" applyFont="1">
      <alignment shrinkToFit="0" vertical="bottom" wrapText="0"/>
    </xf>
    <xf borderId="0" fillId="7" fontId="6" numFmtId="0" xfId="0" applyAlignment="1" applyFont="1">
      <alignment readingOrder="0" shrinkToFit="0" vertical="bottom" wrapText="0"/>
    </xf>
    <xf borderId="0" fillId="0" fontId="6" numFmtId="0" xfId="0" applyAlignment="1" applyFont="1">
      <alignment shrinkToFit="0" vertical="bottom" wrapText="0"/>
    </xf>
    <xf borderId="9" fillId="8" fontId="21" numFmtId="0" xfId="0" applyAlignment="1" applyBorder="1" applyFill="1" applyFont="1">
      <alignment horizontal="center" readingOrder="0" shrinkToFit="0" vertical="center" wrapText="1"/>
    </xf>
    <xf borderId="10" fillId="0" fontId="22" numFmtId="0" xfId="0" applyBorder="1" applyFont="1"/>
    <xf borderId="11" fillId="0" fontId="22" numFmtId="0" xfId="0" applyBorder="1" applyFont="1"/>
    <xf borderId="12" fillId="9" fontId="23" numFmtId="0" xfId="0" applyAlignment="1" applyBorder="1" applyFill="1" applyFont="1">
      <alignment horizontal="center" readingOrder="0" shrinkToFit="0" vertical="center" wrapText="1"/>
    </xf>
    <xf borderId="13" fillId="0" fontId="22" numFmtId="0" xfId="0" applyBorder="1" applyFont="1"/>
    <xf borderId="0" fillId="2" fontId="24" numFmtId="0" xfId="0" applyAlignment="1" applyFont="1">
      <alignment readingOrder="0"/>
    </xf>
    <xf borderId="1" fillId="0" fontId="25" numFmtId="0" xfId="0" applyAlignment="1" applyBorder="1" applyFont="1">
      <alignment shrinkToFit="0" vertical="bottom" wrapText="0"/>
    </xf>
    <xf borderId="0" fillId="0" fontId="6" numFmtId="0" xfId="0" applyAlignment="1" applyFont="1">
      <alignment horizontal="right" shrinkToFit="0" vertical="bottom" wrapText="0"/>
    </xf>
    <xf borderId="0" fillId="0" fontId="6" numFmtId="0" xfId="0" applyAlignment="1" applyFont="1">
      <alignment readingOrder="0" shrinkToFit="0" vertical="bottom" wrapText="0"/>
    </xf>
    <xf borderId="0" fillId="0" fontId="26" numFmtId="0" xfId="0" applyAlignment="1" applyFont="1">
      <alignment horizontal="center" shrinkToFit="0" wrapText="0"/>
    </xf>
    <xf borderId="14" fillId="0" fontId="27" numFmtId="0" xfId="0" applyAlignment="1" applyBorder="1" applyFont="1">
      <alignment horizontal="center" readingOrder="0"/>
    </xf>
    <xf borderId="15" fillId="0" fontId="22" numFmtId="0" xfId="0" applyBorder="1" applyFont="1"/>
    <xf borderId="14" fillId="0" fontId="28" numFmtId="0" xfId="0" applyAlignment="1" applyBorder="1" applyFont="1">
      <alignment horizontal="center" readingOrder="0"/>
    </xf>
    <xf borderId="0" fillId="10" fontId="26" numFmtId="0" xfId="0" applyAlignment="1" applyFill="1" applyFont="1">
      <alignment horizontal="center" readingOrder="0" shrinkToFit="0" wrapText="0"/>
    </xf>
    <xf borderId="14" fillId="0" fontId="29" numFmtId="49" xfId="0" applyAlignment="1" applyBorder="1" applyFont="1" applyNumberFormat="1">
      <alignment shrinkToFit="0" vertical="bottom" wrapText="0"/>
    </xf>
    <xf borderId="0" fillId="0" fontId="29" numFmtId="0" xfId="0" applyAlignment="1" applyFont="1">
      <alignment shrinkToFit="0" vertical="bottom" wrapText="0"/>
    </xf>
    <xf borderId="0" fillId="5" fontId="16" numFmtId="0" xfId="0" applyAlignment="1" applyFont="1">
      <alignment horizontal="right" readingOrder="0" shrinkToFit="0" vertical="bottom" wrapText="0"/>
    </xf>
    <xf borderId="0" fillId="0" fontId="16" numFmtId="0" xfId="0" applyAlignment="1" applyFont="1">
      <alignment readingOrder="0" shrinkToFit="0" vertical="bottom" wrapText="0"/>
    </xf>
    <xf borderId="0" fillId="0" fontId="12" numFmtId="0" xfId="0" applyAlignment="1" applyFont="1">
      <alignment horizontal="center"/>
    </xf>
    <xf borderId="0" fillId="0" fontId="6" numFmtId="0" xfId="0" applyAlignment="1" applyFont="1">
      <alignment horizontal="center" readingOrder="0" shrinkToFit="0" vertical="bottom" wrapText="0"/>
    </xf>
    <xf borderId="0" fillId="7" fontId="6" numFmtId="0" xfId="0" applyAlignment="1" applyFont="1">
      <alignment horizontal="right" readingOrder="0" shrinkToFit="0" vertical="bottom" wrapText="0"/>
    </xf>
    <xf borderId="0" fillId="0" fontId="29" numFmtId="0" xfId="0" applyAlignment="1" applyFont="1">
      <alignment horizontal="center" shrinkToFit="0" wrapText="0"/>
    </xf>
    <xf borderId="16" fillId="0" fontId="12" numFmtId="0" xfId="0" applyAlignment="1" applyBorder="1" applyFont="1">
      <alignment horizontal="center" readingOrder="0" shrinkToFit="0" vertical="center" wrapText="1"/>
    </xf>
    <xf borderId="17" fillId="0" fontId="12" numFmtId="0" xfId="0" applyAlignment="1" applyBorder="1" applyFont="1">
      <alignment horizontal="center" readingOrder="0" shrinkToFit="0" vertical="center" wrapText="0"/>
    </xf>
    <xf borderId="18" fillId="0" fontId="30" numFmtId="0" xfId="0" applyAlignment="1" applyBorder="1" applyFont="1">
      <alignment horizontal="center" readingOrder="0" shrinkToFit="0" vertical="center" wrapText="1"/>
    </xf>
    <xf borderId="19" fillId="0" fontId="31" numFmtId="0" xfId="0" applyAlignment="1" applyBorder="1" applyFont="1">
      <alignment horizontal="center" readingOrder="0" vertical="center"/>
    </xf>
    <xf borderId="20" fillId="0" fontId="32" numFmtId="0" xfId="0" applyAlignment="1" applyBorder="1" applyFont="1">
      <alignment horizontal="center" readingOrder="0"/>
    </xf>
    <xf borderId="20" fillId="0" fontId="22" numFmtId="0" xfId="0" applyBorder="1" applyFont="1"/>
    <xf borderId="21" fillId="0" fontId="22" numFmtId="0" xfId="0" applyBorder="1" applyFont="1"/>
    <xf borderId="19" fillId="0" fontId="30" numFmtId="0" xfId="0" applyAlignment="1" applyBorder="1" applyFont="1">
      <alignment horizontal="center" readingOrder="0" textRotation="90"/>
    </xf>
    <xf borderId="19" fillId="0" fontId="12" numFmtId="0" xfId="0" applyAlignment="1" applyBorder="1" applyFont="1">
      <alignment horizontal="center" readingOrder="0" textRotation="90"/>
    </xf>
    <xf borderId="22" fillId="11" fontId="33" numFmtId="49" xfId="0" applyAlignment="1" applyBorder="1" applyFill="1" applyFont="1" applyNumberFormat="1">
      <alignment horizontal="center" readingOrder="0" textRotation="90"/>
    </xf>
    <xf borderId="15" fillId="0" fontId="29" numFmtId="49" xfId="0" applyAlignment="1" applyBorder="1" applyFont="1" applyNumberFormat="1">
      <alignment horizontal="center" shrinkToFit="0" vertical="bottom" wrapText="0"/>
    </xf>
    <xf borderId="23" fillId="12" fontId="30" numFmtId="0" xfId="0" applyAlignment="1" applyBorder="1" applyFill="1" applyFont="1">
      <alignment horizontal="center" readingOrder="0" textRotation="90"/>
    </xf>
    <xf borderId="23" fillId="12" fontId="30" numFmtId="0" xfId="0" applyAlignment="1" applyBorder="1" applyFont="1">
      <alignment horizontal="center"/>
    </xf>
    <xf borderId="23" fillId="2" fontId="30" numFmtId="0" xfId="0" applyAlignment="1" applyBorder="1" applyFont="1">
      <alignment horizontal="center" readingOrder="0"/>
    </xf>
    <xf borderId="23" fillId="12" fontId="30" numFmtId="0" xfId="0" applyAlignment="1" applyBorder="1" applyFont="1">
      <alignment horizontal="center" readingOrder="0"/>
    </xf>
    <xf borderId="23" fillId="12" fontId="30" numFmtId="0" xfId="0" applyAlignment="1" applyBorder="1" applyFont="1">
      <alignment horizontal="center" readingOrder="0" shrinkToFit="0" wrapText="0"/>
    </xf>
    <xf borderId="0" fillId="0" fontId="6" numFmtId="0" xfId="0" applyAlignment="1" applyFont="1">
      <alignment horizontal="right" readingOrder="0" shrinkToFit="0" vertical="bottom" wrapText="0"/>
    </xf>
    <xf borderId="0" fillId="0" fontId="6" numFmtId="0" xfId="0" applyAlignment="1" applyFont="1">
      <alignment horizontal="right" readingOrder="0" shrinkToFit="0" vertical="bottom" wrapText="0"/>
    </xf>
    <xf borderId="0" fillId="0" fontId="6" numFmtId="3" xfId="0" applyAlignment="1" applyFont="1" applyNumberFormat="1">
      <alignment horizontal="center" readingOrder="0" shrinkToFit="0" vertical="bottom" wrapText="0"/>
    </xf>
    <xf borderId="0" fillId="0" fontId="6" numFmtId="0" xfId="0" applyAlignment="1" applyFont="1">
      <alignment horizontal="center" readingOrder="0" shrinkToFit="0" vertical="bottom" wrapText="0"/>
    </xf>
    <xf borderId="24" fillId="2" fontId="6" numFmtId="0" xfId="0" applyAlignment="1" applyBorder="1" applyFont="1">
      <alignment shrinkToFit="0" vertical="bottom" wrapText="0"/>
    </xf>
    <xf borderId="18" fillId="0" fontId="6" numFmtId="0" xfId="0" applyAlignment="1" applyBorder="1" applyFont="1">
      <alignment shrinkToFit="0" vertical="bottom" wrapText="0"/>
    </xf>
    <xf borderId="25" fillId="0" fontId="6" numFmtId="0" xfId="0" applyAlignment="1" applyBorder="1" applyFont="1">
      <alignment shrinkToFit="0" vertical="bottom" wrapText="0"/>
    </xf>
    <xf borderId="0" fillId="2" fontId="6" numFmtId="0" xfId="0" applyAlignment="1" applyFont="1">
      <alignment readingOrder="0" shrinkToFit="0" vertical="bottom" wrapText="0"/>
    </xf>
    <xf borderId="24" fillId="0" fontId="6" numFmtId="0" xfId="0" applyAlignment="1" applyBorder="1" applyFont="1">
      <alignment readingOrder="0" shrinkToFit="0" vertical="bottom" wrapText="0"/>
    </xf>
    <xf borderId="18" fillId="0" fontId="6" numFmtId="0" xfId="0" applyAlignment="1" applyBorder="1" applyFont="1">
      <alignment readingOrder="0" shrinkToFit="0" vertical="bottom" wrapText="0"/>
    </xf>
    <xf borderId="25" fillId="0" fontId="6" numFmtId="0" xfId="0" applyAlignment="1" applyBorder="1" applyFont="1">
      <alignment readingOrder="0" shrinkToFit="0" vertical="bottom" wrapText="0"/>
    </xf>
    <xf borderId="0" fillId="0" fontId="6" numFmtId="0" xfId="0" applyAlignment="1" applyFont="1">
      <alignment readingOrder="0" shrinkToFit="0" vertical="bottom" wrapText="0"/>
    </xf>
    <xf borderId="26" fillId="0" fontId="22" numFmtId="0" xfId="0" applyBorder="1" applyFont="1"/>
    <xf borderId="27" fillId="0" fontId="22" numFmtId="0" xfId="0" applyBorder="1" applyFont="1"/>
    <xf borderId="28" fillId="0" fontId="22" numFmtId="0" xfId="0" applyBorder="1" applyFont="1"/>
    <xf borderId="29" fillId="0" fontId="22" numFmtId="0" xfId="0" applyBorder="1" applyFont="1"/>
    <xf borderId="30" fillId="5" fontId="34" numFmtId="0" xfId="0" applyAlignment="1" applyBorder="1" applyFont="1">
      <alignment horizontal="center" readingOrder="0"/>
    </xf>
    <xf borderId="31" fillId="0" fontId="22" numFmtId="0" xfId="0" applyBorder="1" applyFont="1"/>
    <xf borderId="32" fillId="5" fontId="34" numFmtId="0" xfId="0" applyAlignment="1" applyBorder="1" applyFont="1">
      <alignment horizontal="center" readingOrder="0"/>
    </xf>
    <xf borderId="33" fillId="0" fontId="22" numFmtId="0" xfId="0" applyBorder="1" applyFont="1"/>
    <xf borderId="6" fillId="0" fontId="22" numFmtId="0" xfId="0" applyBorder="1" applyFont="1"/>
    <xf borderId="0" fillId="5" fontId="6" numFmtId="0" xfId="0" applyAlignment="1" applyFont="1">
      <alignment horizontal="left" readingOrder="0" shrinkToFit="0" wrapText="0"/>
    </xf>
    <xf borderId="0" fillId="5" fontId="6" numFmtId="0" xfId="0" applyAlignment="1" applyFont="1">
      <alignment readingOrder="0" shrinkToFit="0" wrapText="0"/>
    </xf>
    <xf borderId="0" fillId="5" fontId="6" numFmtId="0" xfId="0" applyAlignment="1" applyFont="1">
      <alignment horizontal="center" readingOrder="0" shrinkToFit="0" vertical="bottom" wrapText="0"/>
    </xf>
    <xf borderId="0" fillId="0" fontId="6" numFmtId="0" xfId="0" applyAlignment="1" applyFont="1">
      <alignment horizontal="center" shrinkToFit="0" wrapText="0"/>
    </xf>
    <xf borderId="0" fillId="2" fontId="6" numFmtId="0" xfId="0" applyAlignment="1" applyFont="1">
      <alignment shrinkToFit="0" vertical="bottom" wrapText="0"/>
    </xf>
    <xf borderId="34" fillId="2" fontId="6" numFmtId="0" xfId="0" applyAlignment="1" applyBorder="1" applyFont="1">
      <alignment shrinkToFit="0" vertical="bottom" wrapText="0"/>
    </xf>
    <xf borderId="35" fillId="13" fontId="14" numFmtId="0" xfId="0" applyBorder="1" applyFill="1" applyFont="1"/>
    <xf borderId="0" fillId="13" fontId="14" numFmtId="0" xfId="0" applyFont="1"/>
    <xf borderId="34" fillId="0" fontId="6" numFmtId="0" xfId="0" applyAlignment="1" applyBorder="1" applyFont="1">
      <alignment shrinkToFit="0" vertical="bottom" wrapText="0"/>
    </xf>
    <xf borderId="35" fillId="0" fontId="6" numFmtId="0" xfId="0" applyAlignment="1" applyBorder="1" applyFont="1">
      <alignment shrinkToFit="0" vertical="bottom" wrapText="0"/>
    </xf>
    <xf borderId="0" fillId="7" fontId="6" numFmtId="0" xfId="0" applyAlignment="1" applyFont="1">
      <alignment readingOrder="0" shrinkToFit="0" vertical="bottom" wrapText="0"/>
    </xf>
    <xf borderId="0" fillId="2" fontId="34" numFmtId="0" xfId="0" applyAlignment="1" applyFont="1">
      <alignment horizontal="center"/>
    </xf>
    <xf borderId="36" fillId="0" fontId="3" numFmtId="0" xfId="0" applyAlignment="1" applyBorder="1" applyFont="1">
      <alignment horizontal="center" readingOrder="0" vertical="center"/>
    </xf>
    <xf borderId="36" fillId="0" fontId="35" numFmtId="0" xfId="0" applyAlignment="1" applyBorder="1" applyFont="1">
      <alignment horizontal="left" readingOrder="0" vertical="center"/>
    </xf>
    <xf borderId="36" fillId="0" fontId="36" numFmtId="0" xfId="0" applyAlignment="1" applyBorder="1" applyFont="1">
      <alignment horizontal="center" readingOrder="0" vertical="center"/>
    </xf>
    <xf borderId="36" fillId="0" fontId="37" numFmtId="0" xfId="0" applyAlignment="1" applyBorder="1" applyFont="1">
      <alignment horizontal="left" readingOrder="0" vertical="center"/>
    </xf>
    <xf borderId="0" fillId="0" fontId="37" numFmtId="0" xfId="0" applyAlignment="1" applyFont="1">
      <alignment horizontal="left" readingOrder="0" shrinkToFit="0" vertical="center" wrapText="0"/>
    </xf>
    <xf borderId="37" fillId="2" fontId="37" numFmtId="0" xfId="0" applyAlignment="1" applyBorder="1" applyFont="1">
      <alignment horizontal="center" readingOrder="0" shrinkToFit="0" vertical="center" wrapText="0"/>
    </xf>
    <xf borderId="14" fillId="2" fontId="37" numFmtId="0" xfId="0" applyAlignment="1" applyBorder="1" applyFont="1">
      <alignment horizontal="left" readingOrder="0" shrinkToFit="0" vertical="center" wrapText="0"/>
    </xf>
    <xf borderId="14" fillId="2" fontId="37" numFmtId="0" xfId="0" applyAlignment="1" applyBorder="1" applyFont="1">
      <alignment horizontal="left" shrinkToFit="0" vertical="center" wrapText="0"/>
    </xf>
    <xf borderId="37" fillId="2" fontId="37" numFmtId="0" xfId="0" applyAlignment="1" applyBorder="1" applyFont="1">
      <alignment horizontal="left" shrinkToFit="0" vertical="center" wrapText="0"/>
    </xf>
    <xf borderId="2" fillId="2" fontId="37" numFmtId="0" xfId="0" applyAlignment="1" applyBorder="1" applyFont="1">
      <alignment horizontal="left" shrinkToFit="0" vertical="center" wrapText="0"/>
    </xf>
    <xf borderId="37" fillId="2" fontId="37" numFmtId="0" xfId="0" applyAlignment="1" applyBorder="1" applyFont="1">
      <alignment horizontal="left" readingOrder="0" shrinkToFit="0" vertical="center" wrapText="0"/>
    </xf>
    <xf borderId="0" fillId="0" fontId="38" numFmtId="0" xfId="0" applyAlignment="1" applyFont="1">
      <alignment horizontal="left" readingOrder="0" shrinkToFit="0" vertical="center" wrapText="0"/>
    </xf>
    <xf borderId="36" fillId="2" fontId="29" numFmtId="0" xfId="0" applyAlignment="1" applyBorder="1" applyFont="1">
      <alignment horizontal="left" readingOrder="0" shrinkToFit="0" vertical="center" wrapText="0"/>
    </xf>
    <xf borderId="14" fillId="0" fontId="39" numFmtId="49" xfId="0" applyAlignment="1" applyBorder="1" applyFont="1" applyNumberFormat="1">
      <alignment horizontal="center" readingOrder="0" shrinkToFit="0" vertical="center" wrapText="0"/>
    </xf>
    <xf borderId="36" fillId="0" fontId="40" numFmtId="49" xfId="0" applyAlignment="1" applyBorder="1" applyFont="1" applyNumberFormat="1">
      <alignment horizontal="center" readingOrder="0" shrinkToFit="0" wrapText="0"/>
    </xf>
    <xf borderId="15" fillId="2" fontId="30" numFmtId="0" xfId="0" applyAlignment="1" applyBorder="1" applyFont="1">
      <alignment horizontal="center" readingOrder="0"/>
    </xf>
    <xf borderId="36" fillId="5" fontId="41" numFmtId="0" xfId="0" applyAlignment="1" applyBorder="1" applyFont="1">
      <alignment horizontal="center" readingOrder="0"/>
    </xf>
    <xf borderId="36" fillId="2" fontId="30" numFmtId="0" xfId="0" applyAlignment="1" applyBorder="1" applyFont="1">
      <alignment horizontal="center" readingOrder="0"/>
    </xf>
    <xf borderId="23" fillId="5" fontId="30" numFmtId="0" xfId="0" applyAlignment="1" applyBorder="1" applyFont="1">
      <alignment horizontal="center" readingOrder="0"/>
    </xf>
    <xf borderId="0" fillId="14" fontId="40" numFmtId="0" xfId="0" applyAlignment="1" applyFill="1" applyFont="1">
      <alignment horizontal="center" readingOrder="0" shrinkToFit="0" wrapText="0"/>
    </xf>
    <xf borderId="0" fillId="0" fontId="29" numFmtId="0" xfId="0" applyAlignment="1" applyFont="1">
      <alignment shrinkToFit="0" wrapText="0"/>
    </xf>
    <xf borderId="0" fillId="0" fontId="42" numFmtId="0" xfId="0" applyAlignment="1" applyFont="1">
      <alignment horizontal="center" readingOrder="0" shrinkToFit="0" wrapText="0"/>
    </xf>
    <xf borderId="0" fillId="14" fontId="42" numFmtId="0" xfId="0" applyAlignment="1" applyFont="1">
      <alignment horizontal="center" readingOrder="0" shrinkToFit="0" wrapText="0"/>
    </xf>
    <xf borderId="0" fillId="0" fontId="38" numFmtId="0" xfId="0" applyAlignment="1" applyFont="1">
      <alignment shrinkToFit="0" wrapText="0"/>
    </xf>
    <xf borderId="0" fillId="2" fontId="6" numFmtId="0" xfId="0" applyAlignment="1" applyFont="1">
      <alignment horizontal="center" shrinkToFit="0" wrapText="0"/>
    </xf>
    <xf borderId="38" fillId="14" fontId="14" numFmtId="0" xfId="0" applyBorder="1" applyFont="1"/>
    <xf borderId="0" fillId="2" fontId="14" numFmtId="0" xfId="0" applyFont="1"/>
    <xf borderId="8" fillId="15" fontId="6" numFmtId="49" xfId="0" applyAlignment="1" applyBorder="1" applyFill="1" applyFont="1" applyNumberFormat="1">
      <alignment horizontal="center" readingOrder="0" shrinkToFit="0" vertical="bottom" wrapText="0"/>
    </xf>
    <xf borderId="8" fillId="16" fontId="6" numFmtId="0" xfId="0" applyAlignment="1" applyBorder="1" applyFill="1" applyFont="1">
      <alignment horizontal="center" readingOrder="0" shrinkToFit="0" vertical="bottom" wrapText="0"/>
    </xf>
    <xf borderId="39" fillId="5" fontId="6" numFmtId="0" xfId="0" applyAlignment="1" applyBorder="1" applyFont="1">
      <alignment horizontal="center" readingOrder="0" shrinkToFit="0" vertical="bottom" wrapText="0"/>
    </xf>
    <xf borderId="8" fillId="14" fontId="14" numFmtId="0" xfId="0" applyBorder="1" applyFont="1"/>
    <xf borderId="8" fillId="17" fontId="6" numFmtId="0" xfId="0" applyAlignment="1" applyBorder="1" applyFill="1" applyFont="1">
      <alignment horizontal="center" readingOrder="0" shrinkToFit="0" vertical="bottom" wrapText="0"/>
    </xf>
    <xf borderId="8" fillId="5" fontId="6" numFmtId="0" xfId="0" applyAlignment="1" applyBorder="1" applyFont="1">
      <alignment horizontal="center" readingOrder="0" shrinkToFit="0" vertical="bottom" wrapText="0"/>
    </xf>
    <xf borderId="34" fillId="14" fontId="6" numFmtId="0" xfId="0" applyAlignment="1" applyBorder="1" applyFont="1">
      <alignment horizontal="center" readingOrder="0" shrinkToFit="0" vertical="bottom" wrapText="0"/>
    </xf>
    <xf borderId="0" fillId="0" fontId="6" numFmtId="49" xfId="0" applyAlignment="1" applyFont="1" applyNumberFormat="1">
      <alignment horizontal="center" readingOrder="0" shrinkToFit="0" vertical="bottom" wrapText="0"/>
    </xf>
    <xf borderId="0" fillId="5" fontId="6" numFmtId="0" xfId="0" applyAlignment="1" applyFont="1">
      <alignment horizontal="center" readingOrder="0" shrinkToFit="0" vertical="bottom" wrapText="0"/>
    </xf>
    <xf borderId="35" fillId="2" fontId="14" numFmtId="0" xfId="0" applyBorder="1" applyFont="1"/>
    <xf borderId="40" fillId="5" fontId="6" numFmtId="0" xfId="0" applyAlignment="1" applyBorder="1" applyFont="1">
      <alignment horizontal="center" readingOrder="0" shrinkToFit="0" vertical="bottom" wrapText="0"/>
    </xf>
    <xf borderId="41" fillId="14" fontId="14" numFmtId="0" xfId="0" applyBorder="1" applyFont="1"/>
    <xf borderId="42" fillId="0" fontId="22" numFmtId="0" xfId="0" applyBorder="1" applyFont="1"/>
    <xf borderId="43" fillId="0" fontId="22" numFmtId="0" xfId="0" applyBorder="1" applyFont="1"/>
    <xf borderId="44" fillId="2" fontId="41" numFmtId="0" xfId="0" applyAlignment="1" applyBorder="1" applyFont="1">
      <alignment horizontal="left" shrinkToFit="0" vertical="center" wrapText="0"/>
    </xf>
    <xf borderId="45" fillId="0" fontId="22" numFmtId="0" xfId="0" applyBorder="1" applyFont="1"/>
    <xf borderId="43" fillId="2" fontId="41" numFmtId="0" xfId="0" applyAlignment="1" applyBorder="1" applyFont="1">
      <alignment horizontal="left" shrinkToFit="0" vertical="center" wrapText="0"/>
    </xf>
    <xf borderId="36" fillId="0" fontId="22" numFmtId="0" xfId="0" applyBorder="1" applyFont="1"/>
    <xf borderId="37" fillId="0" fontId="22" numFmtId="0" xfId="0" applyBorder="1" applyFont="1"/>
    <xf borderId="0" fillId="0" fontId="16" numFmtId="0" xfId="0" applyAlignment="1" applyFont="1">
      <alignment horizontal="center" readingOrder="0" shrinkToFit="0" wrapText="0"/>
    </xf>
    <xf borderId="46" fillId="0" fontId="22" numFmtId="0" xfId="0" applyBorder="1" applyFont="1"/>
    <xf borderId="2" fillId="0" fontId="22" numFmtId="0" xfId="0" applyBorder="1" applyFont="1"/>
    <xf borderId="0" fillId="7" fontId="6" numFmtId="49" xfId="0" applyAlignment="1" applyFont="1" applyNumberFormat="1">
      <alignment horizontal="center" readingOrder="0" shrinkToFit="0" vertical="bottom" wrapText="0"/>
    </xf>
    <xf borderId="47" fillId="0" fontId="6" numFmtId="0" xfId="0" applyAlignment="1" applyBorder="1" applyFont="1">
      <alignment horizontal="center" readingOrder="0" shrinkToFit="0" vertical="bottom" wrapText="0"/>
    </xf>
    <xf borderId="14" fillId="0" fontId="6" numFmtId="0" xfId="0" applyAlignment="1" applyBorder="1" applyFont="1">
      <alignment horizontal="center" readingOrder="0" shrinkToFit="0" vertical="bottom" wrapText="0"/>
    </xf>
    <xf borderId="34" fillId="0" fontId="22" numFmtId="0" xfId="0" applyBorder="1" applyFont="1"/>
    <xf borderId="35" fillId="0" fontId="6" numFmtId="0" xfId="0" applyAlignment="1" applyBorder="1" applyFont="1">
      <alignment horizontal="center" readingOrder="0" shrinkToFit="0" vertical="bottom" wrapText="0"/>
    </xf>
    <xf borderId="2" fillId="7" fontId="6" numFmtId="49" xfId="0" applyAlignment="1" applyBorder="1" applyFont="1" applyNumberFormat="1">
      <alignment horizontal="center" readingOrder="0" shrinkToFit="0" vertical="bottom" wrapText="0"/>
    </xf>
    <xf borderId="2" fillId="0" fontId="6" numFmtId="49" xfId="0" applyAlignment="1" applyBorder="1" applyFont="1" applyNumberFormat="1">
      <alignment horizontal="center" readingOrder="0" shrinkToFit="0" vertical="bottom" wrapText="0"/>
    </xf>
    <xf borderId="6" fillId="0" fontId="6" numFmtId="0" xfId="0" applyAlignment="1" applyBorder="1" applyFont="1">
      <alignment horizontal="center" readingOrder="0" shrinkToFit="0" vertical="bottom" wrapText="0"/>
    </xf>
    <xf borderId="48" fillId="0" fontId="22" numFmtId="0" xfId="0" applyBorder="1" applyFont="1"/>
    <xf borderId="2" fillId="7" fontId="6" numFmtId="0" xfId="0" applyAlignment="1" applyBorder="1" applyFont="1">
      <alignment shrinkToFit="0" vertical="bottom" wrapText="0"/>
    </xf>
    <xf borderId="37" fillId="7" fontId="6" numFmtId="0" xfId="0" applyAlignment="1" applyBorder="1" applyFont="1">
      <alignment shrinkToFit="0" vertical="bottom" wrapText="0"/>
    </xf>
    <xf borderId="37" fillId="7" fontId="6" numFmtId="0" xfId="0" applyAlignment="1" applyBorder="1" applyFont="1">
      <alignment horizontal="right" readingOrder="0" shrinkToFit="0" vertical="bottom" wrapText="0"/>
    </xf>
    <xf borderId="36" fillId="0" fontId="34" numFmtId="0" xfId="0" applyAlignment="1" applyBorder="1" applyFont="1">
      <alignment horizontal="center" readingOrder="0" vertical="center"/>
    </xf>
    <xf borderId="49" fillId="0" fontId="35" numFmtId="0" xfId="0" applyAlignment="1" applyBorder="1" applyFont="1">
      <alignment horizontal="left" readingOrder="0" vertical="center"/>
    </xf>
    <xf borderId="49" fillId="0" fontId="36" numFmtId="0" xfId="0" applyAlignment="1" applyBorder="1" applyFont="1">
      <alignment horizontal="center" readingOrder="0" vertical="center"/>
    </xf>
    <xf borderId="49" fillId="0" fontId="37" numFmtId="0" xfId="0" applyAlignment="1" applyBorder="1" applyFont="1">
      <alignment horizontal="left" readingOrder="0" vertical="center"/>
    </xf>
    <xf borderId="2" fillId="0" fontId="29" numFmtId="3" xfId="0" applyAlignment="1" applyBorder="1" applyFont="1" applyNumberFormat="1">
      <alignment horizontal="center" readingOrder="0" shrinkToFit="0" wrapText="0"/>
    </xf>
    <xf borderId="0" fillId="2" fontId="43" numFmtId="3" xfId="0" applyFont="1" applyNumberFormat="1"/>
    <xf borderId="0" fillId="0" fontId="16" numFmtId="3" xfId="0" applyAlignment="1" applyFont="1" applyNumberFormat="1">
      <alignment horizontal="center" readingOrder="0" shrinkToFit="0" wrapText="0"/>
    </xf>
    <xf borderId="0" fillId="7" fontId="6" numFmtId="0" xfId="0" applyAlignment="1" applyFont="1">
      <alignment horizontal="center" shrinkToFit="0" wrapText="0"/>
    </xf>
    <xf borderId="34" fillId="7" fontId="14" numFmtId="0" xfId="0" applyBorder="1" applyFont="1"/>
    <xf borderId="0" fillId="7" fontId="6" numFmtId="0" xfId="0" applyAlignment="1" applyFont="1">
      <alignment horizontal="center" readingOrder="0" shrinkToFit="0" vertical="bottom" wrapText="0"/>
    </xf>
    <xf borderId="35" fillId="7" fontId="6" numFmtId="0" xfId="0" applyAlignment="1" applyBorder="1" applyFont="1">
      <alignment horizontal="center" readingOrder="0" shrinkToFit="0" vertical="bottom" wrapText="0"/>
    </xf>
    <xf borderId="0" fillId="7" fontId="14" numFmtId="0" xfId="0" applyFont="1"/>
    <xf borderId="34" fillId="0" fontId="6" numFmtId="0" xfId="0" applyAlignment="1" applyBorder="1" applyFont="1">
      <alignment horizontal="center" readingOrder="0" shrinkToFit="0" vertical="bottom" wrapText="0"/>
    </xf>
    <xf borderId="0" fillId="0" fontId="6" numFmtId="0" xfId="0" applyAlignment="1" applyFont="1">
      <alignment horizontal="center" shrinkToFit="0" vertical="bottom" wrapText="0"/>
    </xf>
    <xf borderId="0" fillId="7" fontId="44" numFmtId="0" xfId="0" applyAlignment="1" applyFont="1">
      <alignment horizontal="right" readingOrder="0" shrinkToFit="0" wrapText="0"/>
    </xf>
    <xf borderId="0" fillId="7" fontId="6" numFmtId="0" xfId="0" applyAlignment="1" applyFont="1">
      <alignment horizontal="center" shrinkToFit="0" vertical="bottom" wrapText="0"/>
    </xf>
    <xf borderId="50" fillId="0" fontId="3" numFmtId="0" xfId="0" applyAlignment="1" applyBorder="1" applyFont="1">
      <alignment horizontal="center" readingOrder="0" shrinkToFit="0" vertical="center" wrapText="0"/>
    </xf>
    <xf borderId="51" fillId="0" fontId="22" numFmtId="0" xfId="0" applyBorder="1" applyFont="1"/>
    <xf borderId="52" fillId="0" fontId="22" numFmtId="0" xfId="0" applyBorder="1" applyFont="1"/>
    <xf borderId="0" fillId="2" fontId="3" numFmtId="0" xfId="0" applyAlignment="1" applyFont="1">
      <alignment shrinkToFit="0" vertical="bottom" wrapText="0"/>
    </xf>
    <xf borderId="0" fillId="7" fontId="44" numFmtId="0" xfId="0" applyAlignment="1" applyFont="1">
      <alignment shrinkToFit="0" wrapText="0"/>
    </xf>
    <xf borderId="0" fillId="2" fontId="29" numFmtId="0" xfId="0" applyAlignment="1" applyFont="1">
      <alignment horizontal="center" shrinkToFit="0" wrapText="0"/>
    </xf>
    <xf borderId="48" fillId="0" fontId="3" numFmtId="0" xfId="0" applyAlignment="1" applyBorder="1" applyFont="1">
      <alignment horizontal="center" readingOrder="0" shrinkToFit="0" wrapText="0"/>
    </xf>
    <xf borderId="2" fillId="0" fontId="3" numFmtId="0" xfId="0" applyAlignment="1" applyBorder="1" applyFont="1">
      <alignment horizontal="center" readingOrder="0" shrinkToFit="0" wrapText="0"/>
    </xf>
    <xf borderId="50" fillId="0" fontId="3" numFmtId="0" xfId="0" applyAlignment="1" applyBorder="1" applyFont="1">
      <alignment horizontal="center" readingOrder="0" shrinkToFit="0" wrapText="0"/>
    </xf>
    <xf borderId="51" fillId="0" fontId="3" numFmtId="0" xfId="0" applyAlignment="1" applyBorder="1" applyFont="1">
      <alignment horizontal="center" readingOrder="0" shrinkToFit="0" wrapText="0"/>
    </xf>
    <xf borderId="52" fillId="0" fontId="3" numFmtId="0" xfId="0" applyAlignment="1" applyBorder="1" applyFont="1">
      <alignment horizontal="center" readingOrder="0" shrinkToFit="0" wrapText="0"/>
    </xf>
    <xf borderId="0" fillId="3" fontId="29" numFmtId="0" xfId="0" applyAlignment="1" applyFont="1">
      <alignment horizontal="center" vertical="bottom"/>
    </xf>
    <xf borderId="7" fillId="2" fontId="6" numFmtId="0" xfId="0" applyAlignment="1" applyBorder="1" applyFont="1">
      <alignment vertical="bottom"/>
    </xf>
    <xf borderId="7" fillId="3" fontId="38" numFmtId="0" xfId="0" applyAlignment="1" applyBorder="1" applyFont="1">
      <alignment horizontal="center" vertical="bottom"/>
    </xf>
    <xf borderId="7" fillId="18" fontId="6" numFmtId="0" xfId="0" applyAlignment="1" applyBorder="1" applyFill="1" applyFont="1">
      <alignment vertical="bottom"/>
    </xf>
    <xf borderId="7" fillId="3" fontId="29" numFmtId="0" xfId="0" applyAlignment="1" applyBorder="1" applyFont="1">
      <alignment horizontal="center" vertical="bottom"/>
    </xf>
    <xf borderId="7" fillId="2" fontId="38" numFmtId="0" xfId="0" applyAlignment="1" applyBorder="1" applyFont="1">
      <alignment horizontal="center" vertical="bottom"/>
    </xf>
    <xf borderId="7" fillId="2" fontId="40" numFmtId="0" xfId="0" applyAlignment="1" applyBorder="1" applyFont="1">
      <alignment horizontal="center" vertical="bottom"/>
    </xf>
    <xf borderId="0" fillId="7" fontId="3" numFmtId="0" xfId="0" applyAlignment="1" applyFont="1">
      <alignment horizontal="center" readingOrder="0" shrinkToFit="0" vertical="bottom" wrapText="0"/>
    </xf>
    <xf borderId="6" fillId="19" fontId="29" numFmtId="0" xfId="0" applyAlignment="1" applyBorder="1" applyFill="1" applyFont="1">
      <alignment horizontal="center" readingOrder="0" shrinkToFit="0" wrapText="0"/>
    </xf>
    <xf borderId="7" fillId="18" fontId="45" numFmtId="0" xfId="0" applyAlignment="1" applyBorder="1" applyFont="1">
      <alignment horizontal="center" readingOrder="0" shrinkToFit="0" wrapText="0"/>
    </xf>
    <xf borderId="7" fillId="7" fontId="38" numFmtId="0" xfId="0" applyAlignment="1" applyBorder="1" applyFont="1">
      <alignment horizontal="center" readingOrder="0" shrinkToFit="0" wrapText="0"/>
    </xf>
    <xf borderId="7" fillId="7" fontId="42" numFmtId="0" xfId="0" applyAlignment="1" applyBorder="1" applyFont="1">
      <alignment horizontal="center" readingOrder="0" shrinkToFit="0" wrapText="0"/>
    </xf>
    <xf borderId="0" fillId="7" fontId="3" numFmtId="0" xfId="0" applyAlignment="1" applyFont="1">
      <alignment horizontal="center" readingOrder="0" shrinkToFit="0" wrapText="0"/>
    </xf>
    <xf borderId="6" fillId="3" fontId="29" numFmtId="0" xfId="0" applyAlignment="1" applyBorder="1" applyFont="1">
      <alignment horizontal="center" readingOrder="0" shrinkToFit="0" wrapText="0"/>
    </xf>
    <xf borderId="6" fillId="3" fontId="38" numFmtId="0" xfId="0" applyAlignment="1" applyBorder="1" applyFont="1">
      <alignment horizontal="center" readingOrder="0" shrinkToFit="0" wrapText="0"/>
    </xf>
    <xf borderId="0" fillId="7" fontId="29" numFmtId="0" xfId="0" applyAlignment="1" applyFont="1">
      <alignment horizontal="center" readingOrder="0" shrinkToFit="0" wrapText="0"/>
    </xf>
    <xf borderId="0" fillId="7" fontId="29" numFmtId="0" xfId="0" applyAlignment="1" applyFont="1">
      <alignment horizontal="right" readingOrder="0" shrinkToFit="0" wrapText="0"/>
    </xf>
    <xf borderId="0" fillId="7" fontId="46" numFmtId="0" xfId="0" applyAlignment="1" applyFont="1">
      <alignment horizontal="center" readingOrder="0" shrinkToFit="0" wrapText="0"/>
    </xf>
    <xf borderId="0" fillId="7" fontId="45" numFmtId="0" xfId="0" applyAlignment="1" applyFont="1">
      <alignment horizontal="center" readingOrder="0" shrinkToFit="0" wrapText="0"/>
    </xf>
    <xf borderId="0" fillId="0" fontId="44" numFmtId="0" xfId="0" applyAlignment="1" applyFont="1">
      <alignment horizontal="right" readingOrder="0" shrinkToFit="0" wrapText="0"/>
    </xf>
    <xf borderId="6" fillId="0" fontId="6" numFmtId="0" xfId="0" applyAlignment="1" applyBorder="1" applyFont="1">
      <alignment horizontal="right" readingOrder="0" shrinkToFit="0" vertical="bottom" wrapText="0"/>
    </xf>
    <xf borderId="0" fillId="0" fontId="44" numFmtId="0" xfId="0" applyAlignment="1" applyFont="1">
      <alignment shrinkToFit="0" wrapText="0"/>
    </xf>
    <xf borderId="0" fillId="7" fontId="29" numFmtId="0" xfId="0" applyAlignment="1" applyFont="1">
      <alignment horizontal="center" shrinkToFit="0" wrapText="0"/>
    </xf>
    <xf borderId="0" fillId="7" fontId="29" numFmtId="0" xfId="0" applyAlignment="1" applyFont="1">
      <alignment shrinkToFit="0" wrapText="0"/>
    </xf>
    <xf borderId="37" fillId="18" fontId="29" numFmtId="0" xfId="0" applyAlignment="1" applyBorder="1" applyFont="1">
      <alignment horizontal="center" shrinkToFit="0" wrapText="0"/>
    </xf>
    <xf borderId="37" fillId="18" fontId="29" numFmtId="0" xfId="0" applyAlignment="1" applyBorder="1" applyFont="1">
      <alignment shrinkToFit="0" wrapText="0"/>
    </xf>
    <xf borderId="8" fillId="0" fontId="38" numFmtId="0" xfId="0" applyAlignment="1" applyBorder="1" applyFont="1">
      <alignment horizontal="left" readingOrder="0" shrinkToFit="0" vertical="center" wrapText="0"/>
    </xf>
    <xf borderId="41" fillId="0" fontId="39" numFmtId="49" xfId="0" applyAlignment="1" applyBorder="1" applyFont="1" applyNumberFormat="1">
      <alignment horizontal="center" readingOrder="0" shrinkToFit="0" vertical="center" wrapText="0"/>
    </xf>
    <xf borderId="0" fillId="18" fontId="6" numFmtId="0" xfId="0" applyAlignment="1" applyFont="1">
      <alignment shrinkToFit="0" vertical="bottom" wrapText="0"/>
    </xf>
    <xf borderId="35" fillId="0" fontId="6" numFmtId="0" xfId="0" applyAlignment="1" applyBorder="1" applyFont="1">
      <alignment horizontal="center" shrinkToFit="0" vertical="bottom" wrapText="0"/>
    </xf>
    <xf borderId="0" fillId="2" fontId="6" numFmtId="0" xfId="0" applyAlignment="1" applyFont="1">
      <alignment horizontal="center" shrinkToFit="0" wrapText="0"/>
    </xf>
    <xf borderId="0" fillId="0" fontId="6" numFmtId="0" xfId="0" applyFont="1"/>
    <xf borderId="0" fillId="0" fontId="31" numFmtId="0" xfId="0" applyFont="1"/>
    <xf borderId="0" fillId="0" fontId="47" numFmtId="0" xfId="0" applyFont="1"/>
    <xf borderId="45" fillId="0" fontId="34" numFmtId="0" xfId="0" applyAlignment="1" applyBorder="1" applyFont="1">
      <alignment horizontal="center" readingOrder="0" vertical="center"/>
    </xf>
    <xf borderId="44" fillId="0" fontId="22" numFmtId="0" xfId="0" applyBorder="1" applyFont="1"/>
    <xf borderId="37" fillId="2" fontId="30" numFmtId="0" xfId="0" applyAlignment="1" applyBorder="1" applyFont="1">
      <alignment horizontal="center" readingOrder="0"/>
    </xf>
    <xf borderId="6" fillId="5" fontId="41" numFmtId="0" xfId="0" applyAlignment="1" applyBorder="1" applyFont="1">
      <alignment horizontal="center" readingOrder="0"/>
    </xf>
    <xf borderId="6" fillId="2" fontId="30" numFmtId="0" xfId="0" applyAlignment="1" applyBorder="1" applyFont="1">
      <alignment horizontal="center" readingOrder="0"/>
    </xf>
    <xf borderId="7" fillId="2" fontId="30" numFmtId="0" xfId="0" applyAlignment="1" applyBorder="1" applyFont="1">
      <alignment horizontal="center" readingOrder="0"/>
    </xf>
    <xf borderId="7" fillId="5" fontId="30" numFmtId="0" xfId="0" applyAlignment="1" applyBorder="1" applyFont="1">
      <alignment horizontal="center" readingOrder="0"/>
    </xf>
    <xf borderId="52" fillId="2" fontId="37" numFmtId="0" xfId="0" applyAlignment="1" applyBorder="1" applyFont="1">
      <alignment horizontal="center" readingOrder="0" shrinkToFit="0" vertical="center" wrapText="0"/>
    </xf>
    <xf borderId="44" fillId="2" fontId="41" numFmtId="0" xfId="0" applyAlignment="1" applyBorder="1" applyFont="1">
      <alignment horizontal="left" readingOrder="0" shrinkToFit="0" vertical="center" wrapText="0"/>
    </xf>
    <xf borderId="53" fillId="0" fontId="22" numFmtId="0" xfId="0" applyBorder="1" applyFont="1"/>
    <xf borderId="28" fillId="7" fontId="6" numFmtId="49" xfId="0" applyAlignment="1" applyBorder="1" applyFont="1" applyNumberFormat="1">
      <alignment horizontal="center" readingOrder="0" shrinkToFit="0" vertical="bottom" wrapText="0"/>
    </xf>
    <xf borderId="54" fillId="7" fontId="6" numFmtId="0" xfId="0" applyAlignment="1" applyBorder="1" applyFont="1">
      <alignment horizontal="center" readingOrder="0" shrinkToFit="0" vertical="bottom" wrapText="0"/>
    </xf>
    <xf borderId="28" fillId="0" fontId="6" numFmtId="49" xfId="0" applyAlignment="1" applyBorder="1" applyFont="1" applyNumberFormat="1">
      <alignment horizontal="center" readingOrder="0" shrinkToFit="0" vertical="bottom" wrapText="0"/>
    </xf>
    <xf borderId="28" fillId="0" fontId="6" numFmtId="0" xfId="0" applyAlignment="1" applyBorder="1" applyFont="1">
      <alignment horizontal="center" shrinkToFit="0" vertical="bottom" wrapText="0"/>
    </xf>
    <xf borderId="28" fillId="0" fontId="6" numFmtId="0" xfId="0" applyAlignment="1" applyBorder="1" applyFont="1">
      <alignment horizontal="center" readingOrder="0" shrinkToFit="0" vertical="bottom" wrapText="0"/>
    </xf>
    <xf borderId="54" fillId="0" fontId="6" numFmtId="0" xfId="0" applyAlignment="1" applyBorder="1" applyFont="1">
      <alignment horizontal="center" shrinkToFit="0" vertical="bottom" wrapText="0"/>
    </xf>
    <xf borderId="0" fillId="0" fontId="6" numFmtId="0" xfId="0" applyAlignment="1" applyFont="1">
      <alignment horizontal="right" vertical="bottom"/>
    </xf>
    <xf borderId="0" fillId="20" fontId="48" numFmtId="0" xfId="0" applyAlignment="1" applyFill="1" applyFont="1">
      <alignment vertical="bottom"/>
    </xf>
    <xf borderId="0" fillId="2" fontId="6" numFmtId="0" xfId="0" applyAlignment="1" applyFont="1">
      <alignment vertical="bottom"/>
    </xf>
    <xf borderId="0" fillId="2" fontId="48" numFmtId="0" xfId="0" applyAlignment="1" applyFont="1">
      <alignment horizontal="right" vertical="bottom"/>
    </xf>
    <xf borderId="0" fillId="0" fontId="32" numFmtId="0" xfId="0" applyAlignment="1" applyFont="1">
      <alignment horizontal="center" shrinkToFit="0" wrapText="0"/>
    </xf>
    <xf borderId="0" fillId="0" fontId="49" numFmtId="0" xfId="0" applyAlignment="1" applyFont="1">
      <alignment readingOrder="0" shrinkToFit="0" vertical="bottom" wrapText="0"/>
    </xf>
    <xf borderId="0" fillId="0" fontId="32" numFmtId="0" xfId="0" applyAlignment="1" applyFont="1">
      <alignment shrinkToFit="0" wrapText="0"/>
    </xf>
    <xf borderId="0" fillId="0" fontId="50" numFmtId="0" xfId="0" applyAlignment="1" applyFont="1">
      <alignment readingOrder="0" shrinkToFit="0" vertical="bottom" wrapText="0"/>
    </xf>
    <xf borderId="0" fillId="0" fontId="50" numFmtId="49" xfId="0" applyAlignment="1" applyFont="1" applyNumberFormat="1">
      <alignment readingOrder="0" shrinkToFit="0" vertical="bottom" wrapText="0"/>
    </xf>
    <xf borderId="2" fillId="2" fontId="6" numFmtId="0" xfId="0" applyAlignment="1" applyBorder="1" applyFont="1">
      <alignment vertical="bottom"/>
    </xf>
    <xf borderId="2" fillId="2" fontId="48" numFmtId="0" xfId="0" applyAlignment="1" applyBorder="1" applyFont="1">
      <alignment horizontal="right" vertical="bottom"/>
    </xf>
    <xf borderId="2" fillId="0" fontId="32" numFmtId="0" xfId="0" applyAlignment="1" applyBorder="1" applyFont="1">
      <alignment horizontal="center" shrinkToFit="0" wrapText="0"/>
    </xf>
    <xf borderId="0" fillId="0" fontId="51" numFmtId="0" xfId="0" applyAlignment="1" applyFont="1">
      <alignment horizontal="center" shrinkToFit="0" vertical="bottom" wrapText="0"/>
    </xf>
    <xf borderId="51" fillId="0" fontId="37" numFmtId="0" xfId="0" applyAlignment="1" applyBorder="1" applyFont="1">
      <alignment shrinkToFit="0" vertical="bottom" wrapText="0"/>
    </xf>
    <xf borderId="51" fillId="0" fontId="52" numFmtId="0" xfId="0" applyAlignment="1" applyBorder="1" applyFont="1">
      <alignment shrinkToFit="0" vertical="bottom" wrapText="0"/>
    </xf>
    <xf borderId="51" fillId="0" fontId="6" numFmtId="0" xfId="0" applyAlignment="1" applyBorder="1" applyFont="1">
      <alignment shrinkToFit="0" vertical="bottom" wrapText="0"/>
    </xf>
    <xf borderId="0" fillId="0" fontId="51" numFmtId="0" xfId="0" applyAlignment="1" applyFont="1">
      <alignment horizontal="center" shrinkToFit="0" wrapText="0"/>
    </xf>
    <xf borderId="0" fillId="0" fontId="51" numFmtId="0" xfId="0" applyAlignment="1" applyFont="1">
      <alignment shrinkToFit="0" wrapText="0"/>
    </xf>
    <xf borderId="0" fillId="0" fontId="6" numFmtId="0" xfId="0" applyAlignment="1" applyFont="1">
      <alignment horizontal="center"/>
    </xf>
    <xf borderId="0" fillId="0" fontId="52" numFmtId="0" xfId="0" applyAlignment="1" applyFont="1">
      <alignment shrinkToFit="0" vertical="bottom" wrapText="0"/>
    </xf>
    <xf borderId="0" fillId="0" fontId="53" numFmtId="49" xfId="0" applyAlignment="1" applyFont="1" applyNumberFormat="1">
      <alignment horizontal="center"/>
    </xf>
    <xf borderId="0" fillId="0" fontId="6" numFmtId="49" xfId="0" applyFont="1" applyNumberFormat="1"/>
    <xf borderId="9" fillId="9" fontId="54" numFmtId="0" xfId="0" applyAlignment="1" applyBorder="1" applyFont="1">
      <alignment horizontal="center" readingOrder="0" shrinkToFit="0" vertical="center" wrapText="1"/>
    </xf>
    <xf borderId="0" fillId="0" fontId="55" numFmtId="0" xfId="0" applyAlignment="1" applyFont="1">
      <alignment horizontal="right" readingOrder="0"/>
    </xf>
    <xf borderId="9" fillId="17" fontId="56" numFmtId="0" xfId="0" applyAlignment="1" applyBorder="1" applyFont="1">
      <alignment horizontal="center" readingOrder="0" vertical="center"/>
    </xf>
    <xf borderId="0" fillId="0" fontId="37" numFmtId="0" xfId="0" applyAlignment="1" applyFont="1">
      <alignment horizontal="left" readingOrder="0"/>
    </xf>
    <xf borderId="0" fillId="0" fontId="52" numFmtId="0" xfId="0" applyAlignment="1" applyFont="1">
      <alignment horizontal="right" readingOrder="0" shrinkToFit="0" wrapText="0"/>
    </xf>
    <xf borderId="0" fillId="0" fontId="52" numFmtId="0" xfId="0" applyAlignment="1" applyFont="1">
      <alignment horizontal="left" readingOrder="0" shrinkToFit="0" vertical="center" wrapText="0"/>
    </xf>
    <xf borderId="0" fillId="0" fontId="54" numFmtId="0" xfId="0" applyAlignment="1" applyFont="1">
      <alignment horizontal="center" readingOrder="0" shrinkToFit="0" wrapText="0"/>
    </xf>
    <xf borderId="0" fillId="0" fontId="37" numFmtId="0" xfId="0" applyAlignment="1" applyFont="1">
      <alignment horizontal="center" shrinkToFit="0" wrapText="0"/>
    </xf>
    <xf borderId="24" fillId="0" fontId="37" numFmtId="0" xfId="0" applyAlignment="1" applyBorder="1" applyFont="1">
      <alignment horizontal="center" readingOrder="0" vertical="center"/>
    </xf>
    <xf borderId="19" fillId="0" fontId="37" numFmtId="0" xfId="0" applyAlignment="1" applyBorder="1" applyFont="1">
      <alignment horizontal="center" readingOrder="0" vertical="center"/>
    </xf>
    <xf borderId="18" fillId="0" fontId="37" numFmtId="0" xfId="0" applyAlignment="1" applyBorder="1" applyFont="1">
      <alignment horizontal="center" readingOrder="0" vertical="center"/>
    </xf>
    <xf borderId="17" fillId="0" fontId="22" numFmtId="0" xfId="0" applyBorder="1" applyFont="1"/>
    <xf borderId="18" fillId="0" fontId="37" numFmtId="0" xfId="0" applyAlignment="1" applyBorder="1" applyFont="1">
      <alignment horizontal="center" readingOrder="0" shrinkToFit="0" vertical="center" wrapText="1"/>
    </xf>
    <xf borderId="25" fillId="0" fontId="37" numFmtId="0" xfId="0" applyAlignment="1" applyBorder="1" applyFont="1">
      <alignment horizontal="center" readingOrder="0" vertical="center"/>
    </xf>
    <xf borderId="54" fillId="0" fontId="22" numFmtId="0" xfId="0" applyBorder="1" applyFont="1"/>
    <xf borderId="55" fillId="11" fontId="57" numFmtId="3" xfId="0" applyAlignment="1" applyBorder="1" applyFont="1" applyNumberFormat="1">
      <alignment horizontal="center" readingOrder="0" vertical="center"/>
    </xf>
    <xf borderId="56" fillId="0" fontId="58" numFmtId="0" xfId="0" applyAlignment="1" applyBorder="1" applyFont="1">
      <alignment horizontal="left" vertical="center"/>
    </xf>
    <xf borderId="56" fillId="0" fontId="58" numFmtId="0" xfId="0" applyAlignment="1" applyBorder="1" applyFont="1">
      <alignment horizontal="center" vertical="center"/>
    </xf>
    <xf borderId="56" fillId="0" fontId="6" numFmtId="0" xfId="0" applyAlignment="1" applyBorder="1" applyFont="1">
      <alignment horizontal="left" vertical="center"/>
    </xf>
    <xf borderId="57" fillId="0" fontId="6" numFmtId="0" xfId="0" applyAlignment="1" applyBorder="1" applyFont="1">
      <alignment horizontal="left" vertical="center"/>
    </xf>
    <xf borderId="26" fillId="19" fontId="57" numFmtId="3" xfId="0" applyAlignment="1" applyBorder="1" applyFont="1" applyNumberFormat="1">
      <alignment horizontal="center" readingOrder="0" vertical="center"/>
    </xf>
    <xf borderId="29" fillId="0" fontId="58" numFmtId="0" xfId="0" applyAlignment="1" applyBorder="1" applyFont="1">
      <alignment horizontal="left" vertical="center"/>
    </xf>
    <xf borderId="29" fillId="0" fontId="58" numFmtId="0" xfId="0" applyAlignment="1" applyBorder="1" applyFont="1">
      <alignment horizontal="center" vertical="center"/>
    </xf>
    <xf borderId="29" fillId="0" fontId="6" numFmtId="0" xfId="0" applyAlignment="1" applyBorder="1" applyFont="1">
      <alignment horizontal="left" vertical="center"/>
    </xf>
    <xf borderId="33" fillId="0" fontId="6" numFmtId="0" xfId="0" applyAlignment="1" applyBorder="1" applyFont="1">
      <alignment horizontal="left" vertical="center"/>
    </xf>
    <xf borderId="0" fillId="0" fontId="3" numFmtId="0" xfId="0" applyAlignment="1" applyFont="1">
      <alignment readingOrder="0" shrinkToFit="0" vertical="bottom" wrapText="0"/>
    </xf>
    <xf borderId="51" fillId="0" fontId="6" numFmtId="0" xfId="0" applyAlignment="1" applyBorder="1" applyFont="1">
      <alignment shrinkToFit="0" vertical="bottom" wrapText="0"/>
    </xf>
    <xf borderId="2" fillId="0" fontId="6" numFmtId="0" xfId="0" applyAlignment="1" applyBorder="1" applyFont="1">
      <alignment shrinkToFit="0" vertical="bottom" wrapText="0"/>
    </xf>
    <xf borderId="0" fillId="0" fontId="6" numFmtId="3" xfId="0" applyAlignment="1" applyFont="1" applyNumberFormat="1">
      <alignment horizontal="center" readingOrder="0" shrinkToFit="0" vertical="bottom" wrapText="0"/>
    </xf>
    <xf borderId="0" fillId="0" fontId="59" numFmtId="0" xfId="0" applyAlignment="1" applyFont="1">
      <alignment horizontal="center" vertical="bottom"/>
    </xf>
    <xf borderId="9" fillId="8" fontId="60" numFmtId="0" xfId="0" applyAlignment="1" applyBorder="1" applyFont="1">
      <alignment horizontal="center" readingOrder="0" shrinkToFit="0" vertical="center" wrapText="1"/>
    </xf>
    <xf borderId="12" fillId="21" fontId="51" numFmtId="0" xfId="0" applyAlignment="1" applyBorder="1" applyFill="1" applyFont="1">
      <alignment horizontal="center" readingOrder="0" shrinkToFit="0" vertical="center" wrapText="1"/>
    </xf>
    <xf borderId="2" fillId="0" fontId="52" numFmtId="0" xfId="0" applyAlignment="1" applyBorder="1" applyFont="1">
      <alignment horizontal="center" readingOrder="0" shrinkToFit="0" wrapText="0"/>
    </xf>
    <xf borderId="37" fillId="10" fontId="26" numFmtId="0" xfId="0" applyAlignment="1" applyBorder="1" applyFont="1">
      <alignment horizontal="center" readingOrder="0" vertical="center"/>
    </xf>
    <xf borderId="23" fillId="0" fontId="37" numFmtId="0" xfId="0" applyAlignment="1" applyBorder="1" applyFont="1">
      <alignment horizontal="center" readingOrder="0" vertical="center"/>
    </xf>
    <xf borderId="23" fillId="0" fontId="13" numFmtId="0" xfId="0" applyAlignment="1" applyBorder="1" applyFont="1">
      <alignment horizontal="center" readingOrder="0" shrinkToFit="0" vertical="center" wrapText="1"/>
    </xf>
    <xf borderId="36" fillId="0" fontId="37" numFmtId="0" xfId="0" applyAlignment="1" applyBorder="1" applyFont="1">
      <alignment horizontal="center" readingOrder="0" vertical="center"/>
    </xf>
    <xf borderId="36" fillId="0" fontId="37" numFmtId="0" xfId="0" applyAlignment="1" applyBorder="1" applyFont="1">
      <alignment horizontal="center" readingOrder="0" shrinkToFit="0" vertical="center" wrapText="1"/>
    </xf>
    <xf borderId="41" fillId="0" fontId="37" numFmtId="0" xfId="0" applyAlignment="1" applyBorder="1" applyFont="1">
      <alignment horizontal="center" readingOrder="0" vertical="center"/>
    </xf>
    <xf borderId="40" fillId="0" fontId="22" numFmtId="0" xfId="0" applyBorder="1" applyFont="1"/>
    <xf borderId="36" fillId="0" fontId="35" numFmtId="0" xfId="0" applyAlignment="1" applyBorder="1" applyFont="1">
      <alignment horizontal="center" readingOrder="0" shrinkToFit="0" vertical="center" wrapText="1"/>
    </xf>
    <xf borderId="48" fillId="0" fontId="61" numFmtId="0" xfId="0" applyAlignment="1" applyBorder="1" applyFont="1">
      <alignment horizontal="center" readingOrder="0" shrinkToFit="0" wrapText="0"/>
    </xf>
    <xf borderId="6" fillId="7" fontId="62" numFmtId="0" xfId="0" applyAlignment="1" applyBorder="1" applyFont="1">
      <alignment horizontal="center" readingOrder="0" vertical="center"/>
    </xf>
    <xf borderId="37" fillId="0" fontId="37" numFmtId="0" xfId="0" applyAlignment="1" applyBorder="1" applyFont="1">
      <alignment horizontal="left" readingOrder="0" vertical="center"/>
    </xf>
    <xf borderId="37" fillId="0" fontId="37" numFmtId="0" xfId="0" applyAlignment="1" applyBorder="1" applyFont="1">
      <alignment horizontal="center" readingOrder="0" vertical="center"/>
    </xf>
    <xf borderId="37" fillId="0" fontId="37" numFmtId="0" xfId="0" applyAlignment="1" applyBorder="1" applyFont="1">
      <alignment horizontal="left" readingOrder="0" shrinkToFit="0" vertical="center" wrapText="0"/>
    </xf>
    <xf borderId="15" fillId="0" fontId="37" numFmtId="0" xfId="0" applyAlignment="1" applyBorder="1" applyFont="1">
      <alignment horizontal="left" readingOrder="0" shrinkToFit="0" vertical="center" wrapText="0"/>
    </xf>
    <xf borderId="2" fillId="0" fontId="37" numFmtId="0" xfId="0" applyAlignment="1" applyBorder="1" applyFont="1">
      <alignment horizontal="left" readingOrder="0" shrinkToFit="0" vertical="center" wrapText="0"/>
    </xf>
    <xf borderId="1" fillId="0" fontId="37" numFmtId="0" xfId="0" applyAlignment="1" applyBorder="1" applyFont="1">
      <alignment horizontal="left" readingOrder="0" shrinkToFit="0" vertical="center" wrapText="0"/>
    </xf>
    <xf borderId="48" fillId="0" fontId="63" numFmtId="0" xfId="0" applyAlignment="1" applyBorder="1" applyFont="1">
      <alignment horizontal="center" readingOrder="0" shrinkToFit="0" wrapText="0"/>
    </xf>
    <xf borderId="0" fillId="0" fontId="64" numFmtId="0" xfId="0" applyAlignment="1" applyFont="1">
      <alignment horizontal="left" readingOrder="0" shrinkToFit="0" wrapText="0"/>
    </xf>
    <xf borderId="0" fillId="0" fontId="6" numFmtId="0" xfId="0" applyAlignment="1" applyFont="1">
      <alignment vertical="center"/>
    </xf>
    <xf borderId="0" fillId="0" fontId="10" numFmtId="0" xfId="0" applyAlignment="1" applyFont="1">
      <alignment vertical="center"/>
    </xf>
    <xf borderId="0" fillId="0" fontId="64" numFmtId="0" xfId="0" applyAlignment="1" applyFont="1">
      <alignment horizontal="center" readingOrder="0" shrinkToFit="0" wrapText="0"/>
    </xf>
    <xf borderId="0" fillId="5" fontId="43" numFmtId="0" xfId="0" applyFont="1"/>
    <xf borderId="0" fillId="0" fontId="56" numFmtId="0" xfId="0" applyAlignment="1" applyFont="1">
      <alignment horizontal="left" readingOrder="0"/>
    </xf>
    <xf borderId="0" fillId="0" fontId="37" numFmtId="0" xfId="0" applyFont="1"/>
    <xf borderId="0" fillId="2" fontId="65" numFmtId="0" xfId="0" applyAlignment="1" applyFont="1">
      <alignment readingOrder="0"/>
    </xf>
    <xf borderId="0" fillId="2" fontId="66" numFmtId="0" xfId="0" applyAlignment="1" applyFont="1">
      <alignment readingOrder="0"/>
    </xf>
    <xf borderId="0" fillId="0" fontId="51" numFmtId="0" xfId="0" applyAlignment="1" applyFont="1">
      <alignment horizontal="center" readingOrder="0" shrinkToFit="0" wrapText="0"/>
    </xf>
    <xf borderId="0" fillId="0" fontId="3" numFmtId="0" xfId="0" applyAlignment="1" applyFont="1">
      <alignment horizontal="center" readingOrder="0" shrinkToFit="0" wrapText="0"/>
    </xf>
    <xf borderId="0" fillId="0" fontId="37" numFmtId="0" xfId="0" applyAlignment="1" applyFont="1">
      <alignment horizontal="center" readingOrder="0" shrinkToFit="0" wrapText="0"/>
    </xf>
    <xf borderId="0" fillId="2" fontId="67" numFmtId="0" xfId="0" applyAlignment="1" applyFont="1">
      <alignment readingOrder="0" shrinkToFit="0" wrapText="0"/>
    </xf>
    <xf borderId="0" fillId="0" fontId="37" numFmtId="0" xfId="0" applyAlignment="1" applyFont="1">
      <alignment horizontal="center" readingOrder="0" vertical="center"/>
    </xf>
    <xf borderId="0" fillId="2" fontId="68" numFmtId="0" xfId="0" applyAlignment="1" applyFont="1">
      <alignment readingOrder="0" shrinkToFit="0" wrapText="0"/>
    </xf>
    <xf borderId="0" fillId="2" fontId="67" numFmtId="3" xfId="0" applyAlignment="1" applyFont="1" applyNumberFormat="1">
      <alignment readingOrder="0" shrinkToFit="0" wrapText="0"/>
    </xf>
    <xf borderId="55" fillId="0" fontId="58" numFmtId="3" xfId="0" applyAlignment="1" applyBorder="1" applyFont="1" applyNumberFormat="1">
      <alignment horizontal="center" readingOrder="0" vertical="center"/>
    </xf>
    <xf borderId="0" fillId="5" fontId="14" numFmtId="0" xfId="0" applyFont="1"/>
    <xf borderId="55" fillId="0" fontId="58" numFmtId="3" xfId="0" applyAlignment="1" applyBorder="1" applyFont="1" applyNumberFormat="1">
      <alignment horizontal="center"/>
    </xf>
    <xf borderId="0" fillId="0" fontId="6" numFmtId="0" xfId="0" applyAlignment="1" applyFont="1">
      <alignment horizontal="left" vertical="center"/>
    </xf>
    <xf borderId="58" fillId="0" fontId="58" numFmtId="3" xfId="0" applyAlignment="1" applyBorder="1" applyFont="1" applyNumberFormat="1">
      <alignment horizontal="center" readingOrder="0" vertical="center"/>
    </xf>
    <xf borderId="0" fillId="2" fontId="68" numFmtId="3" xfId="0" applyAlignment="1" applyFont="1" applyNumberFormat="1">
      <alignment readingOrder="0" shrinkToFit="0" wrapText="0"/>
    </xf>
    <xf borderId="26" fillId="0" fontId="58" numFmtId="3" xfId="0" applyAlignment="1" applyBorder="1" applyFont="1" applyNumberFormat="1">
      <alignment horizontal="center"/>
    </xf>
    <xf borderId="59" fillId="0" fontId="58" numFmtId="3" xfId="0" applyAlignment="1" applyBorder="1" applyFont="1" applyNumberFormat="1">
      <alignment horizontal="center"/>
    </xf>
    <xf borderId="0" fillId="2" fontId="43" numFmtId="0" xfId="0" applyAlignment="1" applyFont="1">
      <alignment readingOrder="0" shrinkToFit="0" wrapText="0"/>
    </xf>
    <xf borderId="15" fillId="0" fontId="6" numFmtId="0" xfId="0" applyAlignment="1" applyBorder="1" applyFont="1">
      <alignment horizontal="center" readingOrder="0" shrinkToFit="0" vertical="bottom" wrapText="0"/>
    </xf>
    <xf borderId="15" fillId="0" fontId="6" numFmtId="3" xfId="0" applyAlignment="1" applyBorder="1" applyFont="1" applyNumberFormat="1">
      <alignment horizontal="center" readingOrder="0" shrinkToFit="0" vertical="bottom" wrapText="0"/>
    </xf>
    <xf borderId="26" fillId="0" fontId="58" numFmtId="3" xfId="0" applyAlignment="1" applyBorder="1" applyFont="1" applyNumberFormat="1">
      <alignment horizontal="center" readingOrder="0" vertical="center"/>
    </xf>
    <xf borderId="50" fillId="22" fontId="69" numFmtId="0" xfId="0" applyAlignment="1" applyBorder="1" applyFill="1" applyFont="1">
      <alignment horizontal="center" readingOrder="0" shrinkToFit="0" vertical="center" wrapText="1"/>
    </xf>
    <xf borderId="8" fillId="0" fontId="6" numFmtId="0" xfId="0" applyAlignment="1" applyBorder="1" applyFont="1">
      <alignment horizontal="center" readingOrder="0"/>
    </xf>
    <xf borderId="8" fillId="0" fontId="22" numFmtId="0" xfId="0" applyBorder="1" applyFont="1"/>
    <xf borderId="0" fillId="0" fontId="25" numFmtId="0" xfId="0" applyAlignment="1" applyFont="1">
      <alignment horizontal="center" readingOrder="0" shrinkToFit="0" wrapText="0"/>
    </xf>
    <xf borderId="0" fillId="0" fontId="54" numFmtId="0" xfId="0" applyAlignment="1" applyFont="1">
      <alignment shrinkToFit="0" vertical="bottom" wrapText="0"/>
    </xf>
    <xf borderId="0" fillId="0" fontId="25" numFmtId="0" xfId="0" applyAlignment="1" applyFont="1">
      <alignment shrinkToFit="0" vertical="bottom" wrapText="0"/>
    </xf>
    <xf borderId="50" fillId="23" fontId="70" numFmtId="0" xfId="0" applyAlignment="1" applyBorder="1" applyFill="1" applyFont="1">
      <alignment horizontal="center" readingOrder="0" shrinkToFit="0" wrapText="0"/>
    </xf>
    <xf borderId="41" fillId="3" fontId="71" numFmtId="0" xfId="0" applyAlignment="1" applyBorder="1" applyFont="1">
      <alignment horizontal="center" readingOrder="0" shrinkToFit="0" vertical="center" wrapText="0"/>
    </xf>
    <xf borderId="41" fillId="0" fontId="72" numFmtId="0" xfId="0" applyAlignment="1" applyBorder="1" applyFont="1">
      <alignment vertical="center"/>
    </xf>
    <xf borderId="23" fillId="0" fontId="7" numFmtId="0" xfId="0" applyAlignment="1" applyBorder="1" applyFont="1">
      <alignment horizontal="center" vertical="center"/>
    </xf>
    <xf borderId="0" fillId="0" fontId="73" numFmtId="0" xfId="0" applyAlignment="1" applyFont="1">
      <alignment horizontal="right" readingOrder="0" shrinkToFit="0" vertical="bottom" wrapText="0"/>
    </xf>
    <xf borderId="14" fillId="0" fontId="22" numFmtId="0" xfId="0" applyBorder="1" applyFont="1"/>
    <xf borderId="41" fillId="0" fontId="7" numFmtId="0" xfId="0" applyAlignment="1" applyBorder="1" applyFont="1">
      <alignment horizontal="center" vertical="center"/>
    </xf>
    <xf borderId="41" fillId="2" fontId="74" numFmtId="0" xfId="0" applyAlignment="1" applyBorder="1" applyFont="1">
      <alignment vertical="center"/>
    </xf>
    <xf borderId="41" fillId="23" fontId="71" numFmtId="0" xfId="0" applyAlignment="1" applyBorder="1" applyFont="1">
      <alignment horizontal="center" readingOrder="0" shrinkToFit="0" vertical="center" wrapText="0"/>
    </xf>
    <xf borderId="41" fillId="24" fontId="71" numFmtId="0" xfId="0" applyAlignment="1" applyBorder="1" applyFill="1" applyFont="1">
      <alignment horizontal="center" readingOrder="0" shrinkToFit="0" vertical="center" wrapText="0"/>
    </xf>
    <xf borderId="0" fillId="0" fontId="25" numFmtId="0" xfId="0" applyAlignment="1" applyFont="1">
      <alignment shrinkToFit="0" vertical="center" wrapText="0"/>
    </xf>
    <xf borderId="0" fillId="0" fontId="25" numFmtId="0" xfId="0" applyAlignment="1" applyFont="1">
      <alignment readingOrder="0" shrinkToFit="0" vertical="bottom" wrapText="0"/>
    </xf>
    <xf borderId="8" fillId="0" fontId="25" numFmtId="0" xfId="0" applyAlignment="1" applyBorder="1" applyFont="1">
      <alignment shrinkToFit="0" vertical="bottom" wrapText="0"/>
    </xf>
    <xf borderId="0" fillId="0" fontId="35" numFmtId="0" xfId="0" applyAlignment="1" applyFont="1">
      <alignment shrinkToFit="0" vertical="bottom" wrapText="0"/>
    </xf>
    <xf borderId="2" fillId="0" fontId="25" numFmtId="0" xfId="0" applyAlignment="1" applyBorder="1" applyFont="1">
      <alignment shrinkToFit="0" vertical="bottom" wrapText="0"/>
    </xf>
    <xf borderId="0" fillId="0" fontId="37" numFmtId="0" xfId="0" applyAlignment="1" applyFont="1">
      <alignment shrinkToFit="0" vertical="bottom" wrapText="0"/>
    </xf>
  </cellXfs>
  <cellStyles count="1">
    <cellStyle xfId="0" name="Normal" builtinId="0"/>
  </cellStyles>
  <dxfs count="8">
    <dxf>
      <font>
        <b/>
        <color theme="0"/>
      </font>
      <fill>
        <patternFill patternType="solid">
          <fgColor rgb="FFFF0000"/>
          <bgColor rgb="FFFF0000"/>
        </patternFill>
      </fill>
      <border/>
    </dxf>
    <dxf>
      <font>
        <b/>
        <color theme="1"/>
      </font>
      <fill>
        <patternFill patternType="solid">
          <fgColor rgb="FF00FFFF"/>
          <bgColor rgb="FF00FFFF"/>
        </patternFill>
      </fill>
      <border/>
    </dxf>
    <dxf>
      <font>
        <b/>
        <color theme="1"/>
      </font>
      <fill>
        <patternFill patternType="solid">
          <fgColor rgb="FFFFE599"/>
          <bgColor rgb="FFFFE599"/>
        </patternFill>
      </fill>
      <border/>
    </dxf>
    <dxf>
      <font>
        <b/>
        <color rgb="FF000000"/>
      </font>
      <fill>
        <patternFill patternType="solid">
          <fgColor rgb="FFEA9999"/>
          <bgColor rgb="FFEA9999"/>
        </patternFill>
      </fill>
      <border/>
    </dxf>
    <dxf>
      <font>
        <b/>
      </font>
      <fill>
        <patternFill patternType="solid">
          <fgColor rgb="FFEA9999"/>
          <bgColor rgb="FFEA9999"/>
        </patternFill>
      </fill>
      <border/>
    </dxf>
    <dxf>
      <font>
        <b/>
      </font>
      <fill>
        <patternFill patternType="solid">
          <fgColor rgb="FF00FFFF"/>
          <bgColor rgb="FF00FFFF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spreadsheets/d/1V3qbzRNF-IPukkvvvaIVvM2Ma8sbsQAakprKnoA6l8A/edit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://sambo.ru.com/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://sambo.ru.com/" TargetMode="External"/><Relationship Id="rId2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min="1" max="4" width="4.43"/>
    <col customWidth="1" hidden="1" min="5" max="5" width="30.14"/>
    <col customWidth="1" min="6" max="6" width="35.71"/>
    <col hidden="1" min="8" max="8" width="14.43"/>
    <col customWidth="1" min="9" max="9" width="5.86"/>
    <col customWidth="1" min="10" max="10" width="32.71"/>
    <col customWidth="1" hidden="1" min="11" max="11" width="22.0"/>
    <col hidden="1" min="12" max="12" width="14.43"/>
    <col customWidth="1" min="13" max="13" width="25.57"/>
    <col customWidth="1" min="14" max="14" width="3.14"/>
    <col customWidth="1" min="15" max="15" width="7.29"/>
    <col customWidth="1" hidden="1" min="16" max="16" width="9.14"/>
    <col hidden="1" min="17" max="17" width="14.43"/>
  </cols>
  <sheetData>
    <row r="1">
      <c r="A1" s="1" t="s">
        <v>0</v>
      </c>
      <c r="B1" s="2"/>
      <c r="C1" s="3" t="s">
        <v>1</v>
      </c>
      <c r="N1" s="4" t="s">
        <v>2</v>
      </c>
      <c r="O1" s="5">
        <f>IF(O2="98+",99,O2)</f>
        <v>71</v>
      </c>
      <c r="P1" s="6"/>
      <c r="Q1" s="6"/>
    </row>
    <row r="2">
      <c r="A2" s="1"/>
      <c r="B2" s="2"/>
      <c r="C2" s="7" t="str">
        <f>IFERROR(__xludf.DUMMYFUNCTION("IMPORTRANGE(N1,""Реквизиты!A1"")"),"Первенство России среди юношей и девушек 16-18 лет (отбор на первенство мира и Европы) ЕКП № 1803")</f>
        <v>Первенство России среди юношей и девушек 16-18 лет (отбор на первенство мира и Европы) ЕКП № 1803</v>
      </c>
      <c r="N2" s="6"/>
      <c r="O2" s="8">
        <v>71.0</v>
      </c>
      <c r="P2" s="9" t="s">
        <v>3</v>
      </c>
      <c r="Q2" s="9" t="s">
        <v>4</v>
      </c>
    </row>
    <row r="3">
      <c r="A3" s="2"/>
      <c r="B3" s="2"/>
      <c r="C3" s="7" t="str">
        <f>IFERROR(__xludf.DUMMYFUNCTION("IMPORTRANGE(N1,""Реквизиты!A3"")"),"30.01 - 04.02.2022 г.                                                                                        г.Кстово")</f>
        <v>30.01 - 04.02.2022 г.                                                                                        г.Кстово</v>
      </c>
      <c r="N3" s="6"/>
      <c r="O3" s="10">
        <f>COUNT(B6:B991)</f>
        <v>58</v>
      </c>
      <c r="P3" s="11" t="s">
        <v>5</v>
      </c>
      <c r="Q3" s="6"/>
    </row>
    <row r="4">
      <c r="A4" s="6"/>
      <c r="B4" s="12"/>
      <c r="C4" s="6"/>
      <c r="D4" s="6"/>
      <c r="E4" s="6"/>
      <c r="F4" s="6"/>
      <c r="G4" s="13" t="str">
        <f>P2&amp;"  "&amp;O2&amp;"  "&amp;Q2</f>
        <v>В.к.  71  кг</v>
      </c>
      <c r="H4" s="13"/>
      <c r="I4" s="6"/>
      <c r="J4" s="14" t="s">
        <v>6</v>
      </c>
      <c r="K4" s="6"/>
      <c r="L4" s="6"/>
      <c r="M4" s="15">
        <v>58.0</v>
      </c>
      <c r="N4" s="6"/>
      <c r="O4" s="6"/>
      <c r="P4" s="6"/>
      <c r="Q4" s="6"/>
    </row>
    <row r="5">
      <c r="A5" s="16" t="s">
        <v>7</v>
      </c>
      <c r="B5" s="17" t="s">
        <v>7</v>
      </c>
      <c r="C5" s="18" t="s">
        <v>8</v>
      </c>
      <c r="D5" s="19" t="s">
        <v>9</v>
      </c>
      <c r="E5" s="20" t="s">
        <v>10</v>
      </c>
      <c r="F5" s="20" t="s">
        <v>10</v>
      </c>
      <c r="G5" s="18" t="s">
        <v>11</v>
      </c>
      <c r="H5" s="21" t="s">
        <v>12</v>
      </c>
      <c r="I5" s="22" t="s">
        <v>13</v>
      </c>
      <c r="J5" s="23"/>
      <c r="K5" s="18" t="s">
        <v>14</v>
      </c>
      <c r="L5" s="18" t="s">
        <v>15</v>
      </c>
      <c r="M5" s="24" t="s">
        <v>16</v>
      </c>
      <c r="N5" s="6"/>
      <c r="O5" s="6"/>
      <c r="P5" s="6"/>
      <c r="Q5" s="6"/>
    </row>
    <row r="6">
      <c r="A6" s="25">
        <v>71.0</v>
      </c>
      <c r="B6" s="26">
        <v>71.0</v>
      </c>
      <c r="C6" s="27">
        <v>4.0</v>
      </c>
      <c r="D6" s="27">
        <v>1.0</v>
      </c>
      <c r="E6" s="27" t="s">
        <v>17</v>
      </c>
      <c r="F6" s="27" t="s">
        <v>18</v>
      </c>
      <c r="G6" s="27" t="s">
        <v>19</v>
      </c>
      <c r="H6" s="27" t="s">
        <v>20</v>
      </c>
      <c r="I6" s="27" t="s">
        <v>21</v>
      </c>
      <c r="J6" s="27" t="s">
        <v>22</v>
      </c>
      <c r="K6" s="27" t="s">
        <v>23</v>
      </c>
      <c r="L6" s="28"/>
      <c r="M6" s="29" t="s">
        <v>24</v>
      </c>
      <c r="N6" s="30">
        <v>49.0</v>
      </c>
      <c r="O6" s="31" t="str">
        <f t="shared" ref="O6:O7" si="1">IFERROR(LEFT(E6,FIND(" ",E6)-1))</f>
        <v>ВОРОНЧИХИН</v>
      </c>
      <c r="P6" s="32"/>
      <c r="Q6" s="6"/>
    </row>
    <row r="7">
      <c r="A7" s="25">
        <v>71.0</v>
      </c>
      <c r="B7" s="33">
        <v>71.0</v>
      </c>
      <c r="C7" s="34">
        <v>16.0</v>
      </c>
      <c r="D7" s="34">
        <v>2.0</v>
      </c>
      <c r="E7" s="34" t="s">
        <v>25</v>
      </c>
      <c r="F7" s="34" t="s">
        <v>26</v>
      </c>
      <c r="G7" s="34" t="s">
        <v>27</v>
      </c>
      <c r="H7" s="34" t="s">
        <v>20</v>
      </c>
      <c r="I7" s="34" t="s">
        <v>28</v>
      </c>
      <c r="J7" s="34" t="s">
        <v>29</v>
      </c>
      <c r="K7" s="34" t="s">
        <v>30</v>
      </c>
      <c r="L7" s="33"/>
      <c r="M7" s="29" t="s">
        <v>31</v>
      </c>
      <c r="N7" s="30">
        <v>53.0</v>
      </c>
      <c r="O7" s="31" t="str">
        <f t="shared" si="1"/>
        <v>ЖАЛИЛОВ</v>
      </c>
      <c r="P7" s="6"/>
      <c r="Q7" s="6"/>
    </row>
    <row r="8">
      <c r="A8" s="25">
        <v>71.0</v>
      </c>
      <c r="B8" s="33">
        <v>71.0</v>
      </c>
      <c r="C8" s="34">
        <v>46.0</v>
      </c>
      <c r="D8" s="34">
        <v>3.0</v>
      </c>
      <c r="E8" s="34" t="s">
        <v>32</v>
      </c>
      <c r="F8" s="34" t="s">
        <v>33</v>
      </c>
      <c r="G8" s="34" t="s">
        <v>34</v>
      </c>
      <c r="H8" s="34" t="s">
        <v>20</v>
      </c>
      <c r="I8" s="34" t="s">
        <v>35</v>
      </c>
      <c r="J8" s="34" t="s">
        <v>36</v>
      </c>
      <c r="K8" s="34" t="s">
        <v>37</v>
      </c>
      <c r="L8" s="33"/>
      <c r="M8" s="29" t="s">
        <v>38</v>
      </c>
      <c r="N8" s="30">
        <v>58.0</v>
      </c>
      <c r="O8" s="35">
        <v>58.0</v>
      </c>
      <c r="P8" s="6"/>
      <c r="Q8" s="6"/>
    </row>
    <row r="9">
      <c r="A9" s="25">
        <v>71.0</v>
      </c>
      <c r="B9" s="33">
        <v>71.0</v>
      </c>
      <c r="C9" s="34">
        <v>15.0</v>
      </c>
      <c r="D9" s="34">
        <v>4.0</v>
      </c>
      <c r="E9" s="36" t="s">
        <v>39</v>
      </c>
      <c r="F9" s="29" t="s">
        <v>40</v>
      </c>
      <c r="G9" s="34" t="s">
        <v>41</v>
      </c>
      <c r="H9" s="34" t="s">
        <v>20</v>
      </c>
      <c r="I9" s="34" t="s">
        <v>42</v>
      </c>
      <c r="J9" s="34" t="s">
        <v>43</v>
      </c>
      <c r="K9" s="34" t="s">
        <v>44</v>
      </c>
      <c r="L9" s="33"/>
      <c r="M9" s="29" t="s">
        <v>45</v>
      </c>
      <c r="N9" s="30">
        <v>64.0</v>
      </c>
      <c r="O9" s="35">
        <v>64.0</v>
      </c>
      <c r="P9" s="6"/>
      <c r="Q9" s="6"/>
    </row>
    <row r="10">
      <c r="A10" s="25">
        <v>71.0</v>
      </c>
      <c r="B10" s="33">
        <v>71.0</v>
      </c>
      <c r="C10" s="34">
        <v>55.0</v>
      </c>
      <c r="D10" s="34">
        <v>5.0</v>
      </c>
      <c r="E10" s="36" t="s">
        <v>46</v>
      </c>
      <c r="F10" s="34" t="s">
        <v>47</v>
      </c>
      <c r="G10" s="34" t="s">
        <v>48</v>
      </c>
      <c r="H10" s="34" t="s">
        <v>20</v>
      </c>
      <c r="I10" s="34" t="s">
        <v>49</v>
      </c>
      <c r="J10" s="34" t="s">
        <v>50</v>
      </c>
      <c r="K10" s="34" t="s">
        <v>51</v>
      </c>
      <c r="L10" s="33"/>
      <c r="M10" s="29" t="s">
        <v>52</v>
      </c>
      <c r="N10" s="30">
        <v>71.0</v>
      </c>
      <c r="O10" s="35">
        <v>71.0</v>
      </c>
      <c r="P10" s="6"/>
      <c r="Q10" s="6"/>
    </row>
    <row r="11">
      <c r="A11" s="25">
        <v>71.0</v>
      </c>
      <c r="B11" s="33">
        <v>71.0</v>
      </c>
      <c r="C11" s="34">
        <v>46.0</v>
      </c>
      <c r="D11" s="34">
        <v>6.0</v>
      </c>
      <c r="E11" s="34" t="s">
        <v>53</v>
      </c>
      <c r="F11" s="34" t="s">
        <v>54</v>
      </c>
      <c r="G11" s="34" t="s">
        <v>55</v>
      </c>
      <c r="H11" s="34" t="s">
        <v>20</v>
      </c>
      <c r="I11" s="34" t="s">
        <v>35</v>
      </c>
      <c r="J11" s="34" t="s">
        <v>56</v>
      </c>
      <c r="K11" s="34" t="s">
        <v>37</v>
      </c>
      <c r="L11" s="33"/>
      <c r="M11" s="29" t="s">
        <v>57</v>
      </c>
      <c r="N11" s="30">
        <v>79.0</v>
      </c>
      <c r="O11" s="35">
        <v>79.0</v>
      </c>
      <c r="P11" s="6"/>
      <c r="Q11" s="6"/>
    </row>
    <row r="12">
      <c r="A12" s="25">
        <v>71.0</v>
      </c>
      <c r="B12" s="33">
        <v>71.0</v>
      </c>
      <c r="C12" s="34">
        <v>52.0</v>
      </c>
      <c r="D12" s="34">
        <v>7.0</v>
      </c>
      <c r="E12" s="36" t="s">
        <v>58</v>
      </c>
      <c r="F12" s="34" t="s">
        <v>59</v>
      </c>
      <c r="G12" s="34" t="s">
        <v>60</v>
      </c>
      <c r="H12" s="34" t="s">
        <v>20</v>
      </c>
      <c r="I12" s="34" t="s">
        <v>61</v>
      </c>
      <c r="J12" s="34" t="s">
        <v>62</v>
      </c>
      <c r="K12" s="34" t="s">
        <v>63</v>
      </c>
      <c r="L12" s="33"/>
      <c r="M12" s="29" t="s">
        <v>64</v>
      </c>
      <c r="N12" s="30">
        <v>88.0</v>
      </c>
      <c r="O12" s="35">
        <v>88.0</v>
      </c>
      <c r="P12" s="6"/>
      <c r="Q12" s="6"/>
    </row>
    <row r="13">
      <c r="A13" s="25">
        <v>71.0</v>
      </c>
      <c r="B13" s="37">
        <v>71.0</v>
      </c>
      <c r="C13" s="34">
        <v>28.0</v>
      </c>
      <c r="D13" s="34">
        <v>8.0</v>
      </c>
      <c r="E13" s="34" t="s">
        <v>65</v>
      </c>
      <c r="F13" s="34" t="s">
        <v>66</v>
      </c>
      <c r="G13" s="34" t="s">
        <v>67</v>
      </c>
      <c r="H13" s="34" t="s">
        <v>20</v>
      </c>
      <c r="I13" s="34" t="s">
        <v>68</v>
      </c>
      <c r="J13" s="34" t="s">
        <v>69</v>
      </c>
      <c r="K13" s="34" t="s">
        <v>70</v>
      </c>
      <c r="L13" s="33"/>
      <c r="M13" s="29" t="s">
        <v>71</v>
      </c>
      <c r="N13" s="30">
        <v>98.0</v>
      </c>
      <c r="O13" s="35">
        <v>98.0</v>
      </c>
      <c r="P13" s="6"/>
      <c r="Q13" s="6"/>
    </row>
    <row r="14">
      <c r="A14" s="25">
        <v>71.0</v>
      </c>
      <c r="B14" s="33">
        <v>71.0</v>
      </c>
      <c r="C14" s="34">
        <v>12.0</v>
      </c>
      <c r="D14" s="34">
        <v>9.0</v>
      </c>
      <c r="E14" s="36" t="s">
        <v>72</v>
      </c>
      <c r="F14" s="34" t="s">
        <v>73</v>
      </c>
      <c r="G14" s="34" t="s">
        <v>74</v>
      </c>
      <c r="H14" s="34" t="s">
        <v>20</v>
      </c>
      <c r="I14" s="34" t="s">
        <v>75</v>
      </c>
      <c r="J14" s="34" t="s">
        <v>76</v>
      </c>
      <c r="K14" s="34" t="s">
        <v>77</v>
      </c>
      <c r="L14" s="33"/>
      <c r="M14" s="29" t="s">
        <v>78</v>
      </c>
      <c r="N14" s="30" t="s">
        <v>79</v>
      </c>
      <c r="O14" s="35" t="s">
        <v>79</v>
      </c>
      <c r="P14" s="6"/>
      <c r="Q14" s="6"/>
    </row>
    <row r="15">
      <c r="A15" s="25">
        <v>71.0</v>
      </c>
      <c r="B15" s="33">
        <v>71.0</v>
      </c>
      <c r="C15" s="34">
        <v>26.0</v>
      </c>
      <c r="D15" s="34">
        <v>10.0</v>
      </c>
      <c r="E15" s="34" t="s">
        <v>80</v>
      </c>
      <c r="F15" s="34" t="s">
        <v>81</v>
      </c>
      <c r="G15" s="34" t="s">
        <v>82</v>
      </c>
      <c r="H15" s="34" t="s">
        <v>20</v>
      </c>
      <c r="I15" s="34" t="s">
        <v>28</v>
      </c>
      <c r="J15" s="34" t="s">
        <v>83</v>
      </c>
      <c r="K15" s="34" t="s">
        <v>84</v>
      </c>
      <c r="L15" s="33"/>
      <c r="M15" s="29" t="s">
        <v>85</v>
      </c>
      <c r="N15" s="30" t="s">
        <v>86</v>
      </c>
      <c r="O15" s="31"/>
      <c r="P15" s="6"/>
      <c r="Q15" s="6"/>
    </row>
    <row r="16">
      <c r="A16" s="25">
        <v>71.0</v>
      </c>
      <c r="B16" s="33">
        <v>71.0</v>
      </c>
      <c r="C16" s="34">
        <v>53.0</v>
      </c>
      <c r="D16" s="34">
        <v>11.0</v>
      </c>
      <c r="E16" s="36" t="s">
        <v>87</v>
      </c>
      <c r="F16" s="34" t="s">
        <v>88</v>
      </c>
      <c r="G16" s="34" t="s">
        <v>89</v>
      </c>
      <c r="H16" s="34" t="s">
        <v>20</v>
      </c>
      <c r="I16" s="34" t="s">
        <v>90</v>
      </c>
      <c r="J16" s="34" t="s">
        <v>91</v>
      </c>
      <c r="K16" s="34" t="s">
        <v>92</v>
      </c>
      <c r="L16" s="33"/>
      <c r="M16" s="29" t="s">
        <v>93</v>
      </c>
      <c r="N16" s="6"/>
      <c r="O16" s="31"/>
      <c r="P16" s="6"/>
      <c r="Q16" s="6"/>
    </row>
    <row r="17">
      <c r="A17" s="25">
        <v>71.0</v>
      </c>
      <c r="B17" s="33">
        <v>71.0</v>
      </c>
      <c r="C17" s="34">
        <v>18.0</v>
      </c>
      <c r="D17" s="34">
        <v>12.0</v>
      </c>
      <c r="E17" s="36" t="s">
        <v>94</v>
      </c>
      <c r="F17" s="34" t="s">
        <v>95</v>
      </c>
      <c r="G17" s="34" t="s">
        <v>96</v>
      </c>
      <c r="H17" s="34" t="s">
        <v>20</v>
      </c>
      <c r="I17" s="34" t="s">
        <v>97</v>
      </c>
      <c r="J17" s="34" t="s">
        <v>98</v>
      </c>
      <c r="K17" s="34" t="s">
        <v>99</v>
      </c>
      <c r="L17" s="33"/>
      <c r="M17" s="29" t="s">
        <v>100</v>
      </c>
      <c r="N17" s="6"/>
      <c r="O17" s="31"/>
      <c r="P17" s="6"/>
      <c r="Q17" s="6"/>
    </row>
    <row r="18">
      <c r="A18" s="25">
        <v>71.0</v>
      </c>
      <c r="B18" s="33">
        <v>71.0</v>
      </c>
      <c r="C18" s="34">
        <v>47.0</v>
      </c>
      <c r="D18" s="34">
        <v>13.0</v>
      </c>
      <c r="E18" s="36" t="s">
        <v>101</v>
      </c>
      <c r="F18" s="34" t="s">
        <v>102</v>
      </c>
      <c r="G18" s="34" t="s">
        <v>103</v>
      </c>
      <c r="H18" s="34" t="s">
        <v>104</v>
      </c>
      <c r="I18" s="34" t="s">
        <v>61</v>
      </c>
      <c r="J18" s="34" t="s">
        <v>105</v>
      </c>
      <c r="K18" s="34" t="s">
        <v>106</v>
      </c>
      <c r="L18" s="33"/>
      <c r="M18" s="29" t="s">
        <v>107</v>
      </c>
      <c r="N18" s="6"/>
      <c r="O18" s="31"/>
      <c r="P18" s="6"/>
      <c r="Q18" s="6"/>
    </row>
    <row r="19">
      <c r="A19" s="25">
        <v>71.0</v>
      </c>
      <c r="B19" s="33">
        <v>71.0</v>
      </c>
      <c r="C19" s="34">
        <v>33.0</v>
      </c>
      <c r="D19" s="34">
        <v>14.0</v>
      </c>
      <c r="E19" s="36" t="s">
        <v>108</v>
      </c>
      <c r="F19" s="34" t="s">
        <v>109</v>
      </c>
      <c r="G19" s="34" t="s">
        <v>110</v>
      </c>
      <c r="H19" s="34" t="s">
        <v>20</v>
      </c>
      <c r="I19" s="34" t="s">
        <v>97</v>
      </c>
      <c r="J19" s="34" t="s">
        <v>111</v>
      </c>
      <c r="K19" s="34" t="s">
        <v>112</v>
      </c>
      <c r="L19" s="33"/>
      <c r="M19" s="29" t="s">
        <v>113</v>
      </c>
      <c r="N19" s="6"/>
      <c r="O19" s="31"/>
      <c r="P19" s="6"/>
      <c r="Q19" s="6"/>
    </row>
    <row r="20">
      <c r="A20" s="25">
        <v>71.0</v>
      </c>
      <c r="B20" s="33">
        <v>71.0</v>
      </c>
      <c r="C20" s="34">
        <v>23.0</v>
      </c>
      <c r="D20" s="34">
        <v>15.0</v>
      </c>
      <c r="E20" s="36" t="s">
        <v>114</v>
      </c>
      <c r="F20" s="34" t="s">
        <v>115</v>
      </c>
      <c r="G20" s="34" t="s">
        <v>116</v>
      </c>
      <c r="H20" s="34" t="s">
        <v>20</v>
      </c>
      <c r="I20" s="34" t="s">
        <v>61</v>
      </c>
      <c r="J20" s="34" t="s">
        <v>117</v>
      </c>
      <c r="K20" s="34" t="s">
        <v>118</v>
      </c>
      <c r="L20" s="33"/>
      <c r="M20" s="29" t="s">
        <v>119</v>
      </c>
      <c r="N20" s="6"/>
      <c r="O20" s="31"/>
      <c r="P20" s="6"/>
      <c r="Q20" s="6"/>
    </row>
    <row r="21">
      <c r="A21" s="25">
        <v>71.0</v>
      </c>
      <c r="B21" s="33">
        <v>71.0</v>
      </c>
      <c r="C21" s="34">
        <v>26.0</v>
      </c>
      <c r="D21" s="34">
        <v>16.0</v>
      </c>
      <c r="E21" s="34" t="s">
        <v>120</v>
      </c>
      <c r="F21" s="34" t="s">
        <v>121</v>
      </c>
      <c r="G21" s="34" t="s">
        <v>122</v>
      </c>
      <c r="H21" s="34" t="s">
        <v>20</v>
      </c>
      <c r="I21" s="34" t="s">
        <v>28</v>
      </c>
      <c r="J21" s="34" t="s">
        <v>83</v>
      </c>
      <c r="K21" s="34" t="s">
        <v>84</v>
      </c>
      <c r="L21" s="33"/>
      <c r="M21" s="38" t="s">
        <v>123</v>
      </c>
      <c r="N21" s="6"/>
      <c r="O21" s="31"/>
      <c r="P21" s="6"/>
      <c r="Q21" s="6"/>
    </row>
    <row r="22">
      <c r="A22" s="25">
        <v>71.0</v>
      </c>
      <c r="B22" s="33">
        <v>71.0</v>
      </c>
      <c r="C22" s="34"/>
      <c r="D22" s="34">
        <v>17.0</v>
      </c>
      <c r="E22" s="36" t="s">
        <v>124</v>
      </c>
      <c r="F22" s="34" t="s">
        <v>125</v>
      </c>
      <c r="G22" s="34" t="s">
        <v>126</v>
      </c>
      <c r="H22" s="34" t="s">
        <v>20</v>
      </c>
      <c r="I22" s="34" t="s">
        <v>61</v>
      </c>
      <c r="J22" s="34" t="s">
        <v>127</v>
      </c>
      <c r="K22" s="34" t="s">
        <v>128</v>
      </c>
      <c r="L22" s="33"/>
      <c r="M22" s="29" t="s">
        <v>129</v>
      </c>
      <c r="N22" s="6"/>
      <c r="O22" s="31"/>
      <c r="P22" s="6"/>
      <c r="Q22" s="6"/>
    </row>
    <row r="23">
      <c r="A23" s="25">
        <v>71.0</v>
      </c>
      <c r="B23" s="33">
        <v>71.0</v>
      </c>
      <c r="C23" s="34">
        <v>33.0</v>
      </c>
      <c r="D23" s="34">
        <v>18.0</v>
      </c>
      <c r="E23" s="34" t="s">
        <v>130</v>
      </c>
      <c r="F23" s="34" t="s">
        <v>131</v>
      </c>
      <c r="G23" s="34" t="s">
        <v>132</v>
      </c>
      <c r="H23" s="34" t="s">
        <v>20</v>
      </c>
      <c r="I23" s="34" t="s">
        <v>28</v>
      </c>
      <c r="J23" s="34" t="s">
        <v>133</v>
      </c>
      <c r="K23" s="34" t="s">
        <v>134</v>
      </c>
      <c r="L23" s="33"/>
      <c r="M23" s="39" t="s">
        <v>135</v>
      </c>
      <c r="N23" s="6"/>
      <c r="O23" s="31"/>
      <c r="P23" s="6"/>
      <c r="Q23" s="6"/>
    </row>
    <row r="24">
      <c r="A24" s="25">
        <v>71.0</v>
      </c>
      <c r="B24" s="33">
        <v>71.0</v>
      </c>
      <c r="C24" s="34">
        <v>28.0</v>
      </c>
      <c r="D24" s="34">
        <v>19.0</v>
      </c>
      <c r="E24" s="34" t="s">
        <v>136</v>
      </c>
      <c r="F24" s="34" t="s">
        <v>137</v>
      </c>
      <c r="G24" s="34" t="s">
        <v>138</v>
      </c>
      <c r="H24" s="34" t="s">
        <v>139</v>
      </c>
      <c r="I24" s="34" t="s">
        <v>68</v>
      </c>
      <c r="J24" s="34" t="s">
        <v>140</v>
      </c>
      <c r="K24" s="34" t="s">
        <v>70</v>
      </c>
      <c r="L24" s="33"/>
      <c r="M24" s="29" t="s">
        <v>141</v>
      </c>
      <c r="N24" s="6"/>
      <c r="O24" s="31"/>
      <c r="P24" s="6"/>
      <c r="Q24" s="6"/>
    </row>
    <row r="25">
      <c r="A25" s="25">
        <v>71.0</v>
      </c>
      <c r="B25" s="33">
        <v>71.0</v>
      </c>
      <c r="C25" s="34">
        <v>6.0</v>
      </c>
      <c r="D25" s="34">
        <v>20.0</v>
      </c>
      <c r="E25" s="36" t="s">
        <v>142</v>
      </c>
      <c r="F25" s="34" t="s">
        <v>143</v>
      </c>
      <c r="G25" s="34" t="s">
        <v>144</v>
      </c>
      <c r="H25" s="34" t="s">
        <v>20</v>
      </c>
      <c r="I25" s="34" t="s">
        <v>97</v>
      </c>
      <c r="J25" s="34" t="s">
        <v>145</v>
      </c>
      <c r="K25" s="34" t="s">
        <v>146</v>
      </c>
      <c r="L25" s="33"/>
      <c r="M25" s="29" t="s">
        <v>147</v>
      </c>
      <c r="N25" s="6"/>
      <c r="O25" s="31"/>
      <c r="P25" s="6"/>
      <c r="Q25" s="6"/>
    </row>
    <row r="26">
      <c r="A26" s="25">
        <v>71.0</v>
      </c>
      <c r="B26" s="37">
        <v>71.0</v>
      </c>
      <c r="C26" s="34">
        <v>28.0</v>
      </c>
      <c r="D26" s="34">
        <v>21.0</v>
      </c>
      <c r="E26" s="34" t="s">
        <v>148</v>
      </c>
      <c r="F26" s="34" t="s">
        <v>149</v>
      </c>
      <c r="G26" s="34" t="s">
        <v>150</v>
      </c>
      <c r="H26" s="34" t="s">
        <v>104</v>
      </c>
      <c r="I26" s="34" t="s">
        <v>68</v>
      </c>
      <c r="J26" s="34" t="s">
        <v>69</v>
      </c>
      <c r="K26" s="34" t="s">
        <v>70</v>
      </c>
      <c r="L26" s="33"/>
      <c r="M26" s="29" t="s">
        <v>151</v>
      </c>
      <c r="N26" s="6"/>
      <c r="O26" s="31"/>
      <c r="P26" s="6"/>
      <c r="Q26" s="6"/>
    </row>
    <row r="27">
      <c r="A27" s="25">
        <v>71.0</v>
      </c>
      <c r="B27" s="33">
        <v>71.0</v>
      </c>
      <c r="C27" s="34">
        <v>1.0</v>
      </c>
      <c r="D27" s="34">
        <v>22.0</v>
      </c>
      <c r="E27" s="36" t="s">
        <v>152</v>
      </c>
      <c r="F27" s="34" t="s">
        <v>153</v>
      </c>
      <c r="G27" s="34" t="s">
        <v>154</v>
      </c>
      <c r="H27" s="34" t="s">
        <v>104</v>
      </c>
      <c r="I27" s="34" t="s">
        <v>75</v>
      </c>
      <c r="J27" s="34" t="s">
        <v>155</v>
      </c>
      <c r="K27" s="34" t="s">
        <v>156</v>
      </c>
      <c r="L27" s="33"/>
      <c r="M27" s="29" t="s">
        <v>157</v>
      </c>
      <c r="N27" s="6"/>
      <c r="O27" s="31"/>
      <c r="P27" s="6"/>
      <c r="Q27" s="6"/>
    </row>
    <row r="28">
      <c r="A28" s="25">
        <v>71.0</v>
      </c>
      <c r="B28" s="33">
        <v>71.0</v>
      </c>
      <c r="C28" s="34">
        <v>13.0</v>
      </c>
      <c r="D28" s="34">
        <v>23.0</v>
      </c>
      <c r="E28" s="34" t="s">
        <v>158</v>
      </c>
      <c r="F28" s="34" t="s">
        <v>159</v>
      </c>
      <c r="G28" s="34" t="s">
        <v>160</v>
      </c>
      <c r="H28" s="34" t="s">
        <v>20</v>
      </c>
      <c r="I28" s="34" t="s">
        <v>28</v>
      </c>
      <c r="J28" s="34" t="s">
        <v>161</v>
      </c>
      <c r="K28" s="34" t="s">
        <v>162</v>
      </c>
      <c r="L28" s="33"/>
      <c r="M28" s="29" t="s">
        <v>163</v>
      </c>
      <c r="N28" s="6"/>
      <c r="O28" s="31"/>
      <c r="P28" s="6"/>
      <c r="Q28" s="6"/>
    </row>
    <row r="29">
      <c r="A29" s="25">
        <v>71.0</v>
      </c>
      <c r="B29" s="33">
        <v>71.0</v>
      </c>
      <c r="C29" s="34">
        <v>58.0</v>
      </c>
      <c r="D29" s="34">
        <v>24.0</v>
      </c>
      <c r="E29" s="36" t="s">
        <v>164</v>
      </c>
      <c r="F29" s="34" t="s">
        <v>165</v>
      </c>
      <c r="G29" s="34" t="s">
        <v>166</v>
      </c>
      <c r="H29" s="34" t="s">
        <v>104</v>
      </c>
      <c r="I29" s="34" t="s">
        <v>49</v>
      </c>
      <c r="J29" s="34" t="s">
        <v>167</v>
      </c>
      <c r="K29" s="34" t="s">
        <v>168</v>
      </c>
      <c r="L29" s="33"/>
      <c r="M29" s="29" t="s">
        <v>169</v>
      </c>
      <c r="N29" s="6"/>
      <c r="O29" s="31"/>
      <c r="P29" s="6"/>
      <c r="Q29" s="6"/>
    </row>
    <row r="30">
      <c r="A30" s="25">
        <v>71.0</v>
      </c>
      <c r="B30" s="33">
        <v>71.0</v>
      </c>
      <c r="C30" s="34">
        <v>47.0</v>
      </c>
      <c r="D30" s="34">
        <v>25.0</v>
      </c>
      <c r="E30" s="36" t="s">
        <v>170</v>
      </c>
      <c r="F30" s="34" t="s">
        <v>171</v>
      </c>
      <c r="G30" s="34" t="s">
        <v>172</v>
      </c>
      <c r="H30" s="34" t="s">
        <v>104</v>
      </c>
      <c r="I30" s="34" t="s">
        <v>61</v>
      </c>
      <c r="J30" s="34" t="s">
        <v>173</v>
      </c>
      <c r="K30" s="34" t="s">
        <v>106</v>
      </c>
      <c r="L30" s="33"/>
      <c r="M30" s="29" t="s">
        <v>174</v>
      </c>
      <c r="N30" s="6"/>
      <c r="O30" s="31"/>
      <c r="P30" s="6"/>
      <c r="Q30" s="6"/>
    </row>
    <row r="31">
      <c r="A31" s="25">
        <v>71.0</v>
      </c>
      <c r="B31" s="33">
        <v>71.0</v>
      </c>
      <c r="C31" s="34">
        <v>23.0</v>
      </c>
      <c r="D31" s="34">
        <v>26.0</v>
      </c>
      <c r="E31" s="36" t="s">
        <v>175</v>
      </c>
      <c r="F31" s="34" t="s">
        <v>176</v>
      </c>
      <c r="G31" s="34" t="s">
        <v>177</v>
      </c>
      <c r="H31" s="34" t="s">
        <v>104</v>
      </c>
      <c r="I31" s="34" t="s">
        <v>61</v>
      </c>
      <c r="J31" s="34" t="s">
        <v>178</v>
      </c>
      <c r="K31" s="34" t="s">
        <v>118</v>
      </c>
      <c r="L31" s="33"/>
      <c r="M31" s="29" t="s">
        <v>179</v>
      </c>
      <c r="N31" s="6"/>
      <c r="O31" s="31"/>
      <c r="P31" s="6"/>
      <c r="Q31" s="6"/>
    </row>
    <row r="32">
      <c r="A32" s="25">
        <v>71.0</v>
      </c>
      <c r="B32" s="33">
        <v>71.0</v>
      </c>
      <c r="C32" s="34">
        <v>15.0</v>
      </c>
      <c r="D32" s="34">
        <v>27.0</v>
      </c>
      <c r="E32" s="36" t="s">
        <v>180</v>
      </c>
      <c r="F32" s="27" t="s">
        <v>181</v>
      </c>
      <c r="G32" s="27" t="s">
        <v>182</v>
      </c>
      <c r="H32" s="27" t="s">
        <v>20</v>
      </c>
      <c r="I32" s="27" t="s">
        <v>42</v>
      </c>
      <c r="J32" s="27" t="s">
        <v>183</v>
      </c>
      <c r="K32" s="27" t="s">
        <v>44</v>
      </c>
      <c r="L32" s="28"/>
      <c r="M32" s="29" t="s">
        <v>184</v>
      </c>
      <c r="N32" s="6"/>
      <c r="O32" s="31"/>
      <c r="P32" s="6"/>
      <c r="Q32" s="6"/>
    </row>
    <row r="33">
      <c r="A33" s="25">
        <v>71.0</v>
      </c>
      <c r="B33" s="37">
        <v>71.0</v>
      </c>
      <c r="C33" s="34">
        <v>4.0</v>
      </c>
      <c r="D33" s="34">
        <v>28.0</v>
      </c>
      <c r="E33" s="34" t="s">
        <v>185</v>
      </c>
      <c r="F33" s="34" t="s">
        <v>186</v>
      </c>
      <c r="G33" s="34" t="s">
        <v>187</v>
      </c>
      <c r="H33" s="34" t="s">
        <v>20</v>
      </c>
      <c r="I33" s="34" t="s">
        <v>21</v>
      </c>
      <c r="J33" s="34" t="s">
        <v>188</v>
      </c>
      <c r="K33" s="34" t="s">
        <v>23</v>
      </c>
      <c r="L33" s="33"/>
      <c r="M33" s="29" t="s">
        <v>189</v>
      </c>
      <c r="N33" s="6"/>
      <c r="O33" s="31"/>
      <c r="P33" s="6"/>
      <c r="Q33" s="6"/>
    </row>
    <row r="34">
      <c r="A34" s="25">
        <v>71.0</v>
      </c>
      <c r="B34" s="33">
        <v>71.0</v>
      </c>
      <c r="C34" s="34">
        <v>28.0</v>
      </c>
      <c r="D34" s="34">
        <v>29.0</v>
      </c>
      <c r="E34" s="34" t="s">
        <v>190</v>
      </c>
      <c r="F34" s="34" t="s">
        <v>191</v>
      </c>
      <c r="G34" s="34" t="s">
        <v>192</v>
      </c>
      <c r="H34" s="34" t="s">
        <v>20</v>
      </c>
      <c r="I34" s="34" t="s">
        <v>68</v>
      </c>
      <c r="J34" s="34" t="s">
        <v>69</v>
      </c>
      <c r="K34" s="34" t="s">
        <v>70</v>
      </c>
      <c r="L34" s="33"/>
      <c r="M34" s="29" t="s">
        <v>193</v>
      </c>
      <c r="N34" s="6"/>
      <c r="O34" s="31"/>
      <c r="P34" s="6"/>
      <c r="Q34" s="6"/>
    </row>
    <row r="35">
      <c r="A35" s="25">
        <v>71.0</v>
      </c>
      <c r="B35" s="33">
        <v>71.0</v>
      </c>
      <c r="C35" s="34">
        <v>16.0</v>
      </c>
      <c r="D35" s="34">
        <v>30.0</v>
      </c>
      <c r="E35" s="34" t="s">
        <v>194</v>
      </c>
      <c r="F35" s="29" t="s">
        <v>195</v>
      </c>
      <c r="G35" s="34" t="s">
        <v>196</v>
      </c>
      <c r="H35" s="34" t="s">
        <v>20</v>
      </c>
      <c r="I35" s="34" t="s">
        <v>28</v>
      </c>
      <c r="J35" s="34" t="s">
        <v>197</v>
      </c>
      <c r="K35" s="34" t="s">
        <v>30</v>
      </c>
      <c r="L35" s="33"/>
      <c r="M35" s="29" t="s">
        <v>198</v>
      </c>
      <c r="N35" s="6"/>
      <c r="O35" s="31"/>
      <c r="P35" s="6"/>
      <c r="Q35" s="6"/>
    </row>
    <row r="36">
      <c r="A36" s="25">
        <v>71.0</v>
      </c>
      <c r="B36" s="33">
        <v>71.0</v>
      </c>
      <c r="C36" s="34">
        <v>47.0</v>
      </c>
      <c r="D36" s="34">
        <v>31.0</v>
      </c>
      <c r="E36" s="36" t="s">
        <v>199</v>
      </c>
      <c r="F36" s="34" t="s">
        <v>200</v>
      </c>
      <c r="G36" s="34" t="s">
        <v>201</v>
      </c>
      <c r="H36" s="34" t="s">
        <v>20</v>
      </c>
      <c r="I36" s="34" t="s">
        <v>61</v>
      </c>
      <c r="J36" s="34" t="s">
        <v>105</v>
      </c>
      <c r="K36" s="34" t="s">
        <v>106</v>
      </c>
      <c r="L36" s="33"/>
      <c r="M36" s="29" t="s">
        <v>202</v>
      </c>
      <c r="N36" s="6"/>
      <c r="O36" s="31"/>
      <c r="P36" s="6"/>
      <c r="Q36" s="6"/>
    </row>
    <row r="37">
      <c r="A37" s="25">
        <v>71.0</v>
      </c>
      <c r="B37" s="33">
        <v>71.0</v>
      </c>
      <c r="C37" s="34">
        <v>46.0</v>
      </c>
      <c r="D37" s="34">
        <v>32.0</v>
      </c>
      <c r="E37" s="34" t="s">
        <v>203</v>
      </c>
      <c r="F37" s="34" t="s">
        <v>204</v>
      </c>
      <c r="G37" s="34" t="s">
        <v>205</v>
      </c>
      <c r="H37" s="34" t="s">
        <v>20</v>
      </c>
      <c r="I37" s="34" t="s">
        <v>35</v>
      </c>
      <c r="J37" s="34" t="s">
        <v>206</v>
      </c>
      <c r="K37" s="34" t="s">
        <v>37</v>
      </c>
      <c r="L37" s="33"/>
      <c r="M37" s="29" t="s">
        <v>207</v>
      </c>
      <c r="N37" s="6"/>
      <c r="O37" s="31"/>
      <c r="P37" s="6"/>
      <c r="Q37" s="6"/>
    </row>
    <row r="38">
      <c r="A38" s="25">
        <v>71.0</v>
      </c>
      <c r="B38" s="33">
        <v>71.0</v>
      </c>
      <c r="C38" s="34">
        <v>28.0</v>
      </c>
      <c r="D38" s="34">
        <v>33.0</v>
      </c>
      <c r="E38" s="34" t="s">
        <v>208</v>
      </c>
      <c r="F38" s="34" t="s">
        <v>209</v>
      </c>
      <c r="G38" s="34" t="s">
        <v>210</v>
      </c>
      <c r="H38" s="34" t="s">
        <v>20</v>
      </c>
      <c r="I38" s="34" t="s">
        <v>68</v>
      </c>
      <c r="J38" s="34" t="s">
        <v>211</v>
      </c>
      <c r="K38" s="34" t="s">
        <v>70</v>
      </c>
      <c r="L38" s="33"/>
      <c r="M38" s="29" t="s">
        <v>212</v>
      </c>
      <c r="N38" s="6"/>
      <c r="O38" s="31"/>
      <c r="P38" s="6"/>
      <c r="Q38" s="6"/>
    </row>
    <row r="39">
      <c r="A39" s="25">
        <v>71.0</v>
      </c>
      <c r="B39" s="33">
        <v>71.0</v>
      </c>
      <c r="C39" s="34">
        <v>48.0</v>
      </c>
      <c r="D39" s="34">
        <v>34.0</v>
      </c>
      <c r="E39" s="36" t="s">
        <v>213</v>
      </c>
      <c r="F39" s="34" t="s">
        <v>214</v>
      </c>
      <c r="G39" s="34" t="s">
        <v>215</v>
      </c>
      <c r="H39" s="34" t="s">
        <v>20</v>
      </c>
      <c r="I39" s="34" t="s">
        <v>61</v>
      </c>
      <c r="J39" s="34" t="s">
        <v>216</v>
      </c>
      <c r="K39" s="34" t="s">
        <v>128</v>
      </c>
      <c r="L39" s="33"/>
      <c r="M39" s="29" t="s">
        <v>217</v>
      </c>
      <c r="N39" s="6"/>
      <c r="O39" s="31"/>
      <c r="P39" s="6"/>
      <c r="Q39" s="6"/>
    </row>
    <row r="40">
      <c r="A40" s="25">
        <v>71.0</v>
      </c>
      <c r="B40" s="37">
        <v>71.0</v>
      </c>
      <c r="C40" s="34">
        <v>4.0</v>
      </c>
      <c r="D40" s="34">
        <v>35.0</v>
      </c>
      <c r="E40" s="34" t="s">
        <v>218</v>
      </c>
      <c r="F40" s="34" t="s">
        <v>219</v>
      </c>
      <c r="G40" s="34" t="s">
        <v>220</v>
      </c>
      <c r="H40" s="34" t="s">
        <v>104</v>
      </c>
      <c r="I40" s="34" t="s">
        <v>21</v>
      </c>
      <c r="J40" s="34" t="s">
        <v>221</v>
      </c>
      <c r="K40" s="34" t="s">
        <v>23</v>
      </c>
      <c r="L40" s="33"/>
      <c r="M40" s="29" t="s">
        <v>222</v>
      </c>
      <c r="N40" s="6"/>
      <c r="O40" s="31"/>
      <c r="P40" s="6"/>
      <c r="Q40" s="6"/>
    </row>
    <row r="41">
      <c r="A41" s="25">
        <v>71.0</v>
      </c>
      <c r="B41" s="33">
        <v>71.0</v>
      </c>
      <c r="C41" s="34">
        <v>15.0</v>
      </c>
      <c r="D41" s="34">
        <v>36.0</v>
      </c>
      <c r="E41" s="36" t="s">
        <v>223</v>
      </c>
      <c r="F41" s="34" t="s">
        <v>224</v>
      </c>
      <c r="G41" s="34" t="s">
        <v>225</v>
      </c>
      <c r="H41" s="34" t="s">
        <v>139</v>
      </c>
      <c r="I41" s="34" t="s">
        <v>42</v>
      </c>
      <c r="J41" s="34" t="s">
        <v>226</v>
      </c>
      <c r="K41" s="34" t="s">
        <v>44</v>
      </c>
      <c r="L41" s="33"/>
      <c r="M41" s="39" t="s">
        <v>227</v>
      </c>
      <c r="N41" s="6"/>
      <c r="O41" s="31"/>
      <c r="P41" s="6"/>
      <c r="Q41" s="6"/>
    </row>
    <row r="42">
      <c r="A42" s="25">
        <v>71.0</v>
      </c>
      <c r="B42" s="33">
        <v>71.0</v>
      </c>
      <c r="C42" s="34">
        <v>23.0</v>
      </c>
      <c r="D42" s="34">
        <v>37.0</v>
      </c>
      <c r="E42" s="36" t="s">
        <v>228</v>
      </c>
      <c r="F42" s="34" t="s">
        <v>229</v>
      </c>
      <c r="G42" s="34" t="s">
        <v>230</v>
      </c>
      <c r="H42" s="34" t="s">
        <v>20</v>
      </c>
      <c r="I42" s="34" t="s">
        <v>61</v>
      </c>
      <c r="J42" s="34" t="s">
        <v>231</v>
      </c>
      <c r="K42" s="34" t="s">
        <v>118</v>
      </c>
      <c r="L42" s="33"/>
      <c r="M42" s="29" t="s">
        <v>232</v>
      </c>
      <c r="N42" s="6"/>
      <c r="O42" s="31"/>
      <c r="P42" s="6"/>
      <c r="Q42" s="6"/>
    </row>
    <row r="43">
      <c r="A43" s="25">
        <v>71.0</v>
      </c>
      <c r="B43" s="33">
        <v>71.0</v>
      </c>
      <c r="C43" s="34">
        <v>6.0</v>
      </c>
      <c r="D43" s="34">
        <v>38.0</v>
      </c>
      <c r="E43" s="36" t="s">
        <v>233</v>
      </c>
      <c r="F43" s="34" t="s">
        <v>234</v>
      </c>
      <c r="G43" s="34" t="s">
        <v>235</v>
      </c>
      <c r="H43" s="34" t="s">
        <v>20</v>
      </c>
      <c r="I43" s="34" t="s">
        <v>97</v>
      </c>
      <c r="J43" s="34" t="s">
        <v>236</v>
      </c>
      <c r="K43" s="34" t="s">
        <v>146</v>
      </c>
      <c r="L43" s="33"/>
      <c r="M43" s="29" t="s">
        <v>237</v>
      </c>
      <c r="N43" s="6"/>
      <c r="O43" s="31"/>
      <c r="P43" s="6"/>
      <c r="Q43" s="6"/>
    </row>
    <row r="44">
      <c r="A44" s="25">
        <v>71.0</v>
      </c>
      <c r="B44" s="33">
        <v>71.0</v>
      </c>
      <c r="C44" s="34">
        <v>28.0</v>
      </c>
      <c r="D44" s="34">
        <v>39.0</v>
      </c>
      <c r="E44" s="34" t="s">
        <v>238</v>
      </c>
      <c r="F44" s="34" t="s">
        <v>239</v>
      </c>
      <c r="G44" s="34" t="s">
        <v>240</v>
      </c>
      <c r="H44" s="34" t="s">
        <v>139</v>
      </c>
      <c r="I44" s="34" t="s">
        <v>68</v>
      </c>
      <c r="J44" s="34" t="s">
        <v>241</v>
      </c>
      <c r="K44" s="34" t="s">
        <v>70</v>
      </c>
      <c r="L44" s="33"/>
      <c r="M44" s="29" t="s">
        <v>242</v>
      </c>
      <c r="N44" s="6"/>
      <c r="O44" s="31"/>
      <c r="P44" s="6"/>
      <c r="Q44" s="6"/>
    </row>
    <row r="45">
      <c r="A45" s="25">
        <v>71.0</v>
      </c>
      <c r="B45" s="33">
        <v>71.0</v>
      </c>
      <c r="C45" s="34">
        <v>12.0</v>
      </c>
      <c r="D45" s="34">
        <v>40.0</v>
      </c>
      <c r="E45" s="36" t="s">
        <v>243</v>
      </c>
      <c r="F45" s="34" t="s">
        <v>244</v>
      </c>
      <c r="G45" s="34" t="s">
        <v>245</v>
      </c>
      <c r="H45" s="34" t="s">
        <v>20</v>
      </c>
      <c r="I45" s="34" t="s">
        <v>75</v>
      </c>
      <c r="J45" s="34" t="s">
        <v>246</v>
      </c>
      <c r="K45" s="34" t="s">
        <v>77</v>
      </c>
      <c r="L45" s="33"/>
      <c r="M45" s="29" t="s">
        <v>247</v>
      </c>
      <c r="N45" s="6"/>
      <c r="O45" s="31"/>
      <c r="P45" s="6"/>
      <c r="Q45" s="6"/>
    </row>
    <row r="46">
      <c r="A46" s="25">
        <v>71.0</v>
      </c>
      <c r="B46" s="33">
        <v>71.0</v>
      </c>
      <c r="C46" s="34">
        <v>54.0</v>
      </c>
      <c r="D46" s="34">
        <v>41.0</v>
      </c>
      <c r="E46" s="34" t="s">
        <v>248</v>
      </c>
      <c r="F46" s="34" t="s">
        <v>249</v>
      </c>
      <c r="G46" s="34" t="s">
        <v>250</v>
      </c>
      <c r="H46" s="34" t="s">
        <v>20</v>
      </c>
      <c r="I46" s="34" t="s">
        <v>28</v>
      </c>
      <c r="J46" s="34" t="s">
        <v>251</v>
      </c>
      <c r="K46" s="34" t="s">
        <v>252</v>
      </c>
      <c r="L46" s="33"/>
      <c r="M46" s="38" t="s">
        <v>253</v>
      </c>
      <c r="N46" s="6"/>
      <c r="O46" s="31"/>
      <c r="P46" s="6"/>
      <c r="Q46" s="6"/>
    </row>
    <row r="47">
      <c r="A47" s="25">
        <v>71.0</v>
      </c>
      <c r="B47" s="33">
        <v>71.0</v>
      </c>
      <c r="C47" s="34">
        <v>18.0</v>
      </c>
      <c r="D47" s="34">
        <v>42.0</v>
      </c>
      <c r="E47" s="36" t="s">
        <v>254</v>
      </c>
      <c r="F47" s="34" t="s">
        <v>255</v>
      </c>
      <c r="G47" s="34" t="s">
        <v>256</v>
      </c>
      <c r="H47" s="34" t="s">
        <v>20</v>
      </c>
      <c r="I47" s="34" t="s">
        <v>97</v>
      </c>
      <c r="J47" s="34" t="s">
        <v>98</v>
      </c>
      <c r="K47" s="34" t="s">
        <v>99</v>
      </c>
      <c r="L47" s="33"/>
      <c r="M47" s="29" t="s">
        <v>257</v>
      </c>
      <c r="N47" s="6"/>
      <c r="O47" s="31"/>
      <c r="P47" s="6"/>
      <c r="Q47" s="6"/>
    </row>
    <row r="48">
      <c r="A48" s="25">
        <v>71.0</v>
      </c>
      <c r="B48" s="33">
        <v>71.0</v>
      </c>
      <c r="C48" s="34">
        <v>15.0</v>
      </c>
      <c r="D48" s="34">
        <v>43.0</v>
      </c>
      <c r="E48" s="36" t="s">
        <v>258</v>
      </c>
      <c r="F48" s="34" t="s">
        <v>259</v>
      </c>
      <c r="G48" s="34" t="s">
        <v>260</v>
      </c>
      <c r="H48" s="34" t="s">
        <v>20</v>
      </c>
      <c r="I48" s="34" t="s">
        <v>42</v>
      </c>
      <c r="J48" s="34" t="s">
        <v>43</v>
      </c>
      <c r="K48" s="34" t="s">
        <v>44</v>
      </c>
      <c r="L48" s="33"/>
      <c r="M48" s="29" t="s">
        <v>261</v>
      </c>
      <c r="N48" s="6"/>
      <c r="O48" s="31"/>
      <c r="P48" s="6"/>
      <c r="Q48" s="6"/>
    </row>
    <row r="49">
      <c r="A49" s="25">
        <v>71.0</v>
      </c>
      <c r="B49" s="37">
        <v>71.0</v>
      </c>
      <c r="C49" s="34">
        <v>41.0</v>
      </c>
      <c r="D49" s="34">
        <v>44.0</v>
      </c>
      <c r="E49" s="34" t="s">
        <v>262</v>
      </c>
      <c r="F49" s="34" t="s">
        <v>263</v>
      </c>
      <c r="G49" s="34" t="s">
        <v>264</v>
      </c>
      <c r="H49" s="34" t="s">
        <v>20</v>
      </c>
      <c r="I49" s="34" t="s">
        <v>21</v>
      </c>
      <c r="J49" s="34" t="s">
        <v>265</v>
      </c>
      <c r="K49" s="34" t="s">
        <v>266</v>
      </c>
      <c r="L49" s="33"/>
      <c r="M49" s="29" t="s">
        <v>267</v>
      </c>
      <c r="N49" s="6"/>
      <c r="O49" s="31"/>
      <c r="P49" s="6"/>
      <c r="Q49" s="6"/>
    </row>
    <row r="50">
      <c r="A50" s="25">
        <v>71.0</v>
      </c>
      <c r="B50" s="33">
        <v>71.0</v>
      </c>
      <c r="C50" s="34">
        <v>40.0</v>
      </c>
      <c r="D50" s="34">
        <v>45.0</v>
      </c>
      <c r="E50" s="36" t="s">
        <v>268</v>
      </c>
      <c r="F50" s="34" t="s">
        <v>269</v>
      </c>
      <c r="G50" s="34" t="s">
        <v>270</v>
      </c>
      <c r="H50" s="34" t="s">
        <v>20</v>
      </c>
      <c r="I50" s="34" t="s">
        <v>75</v>
      </c>
      <c r="J50" s="34" t="s">
        <v>271</v>
      </c>
      <c r="K50" s="34" t="s">
        <v>272</v>
      </c>
      <c r="L50" s="33"/>
      <c r="M50" s="29" t="s">
        <v>273</v>
      </c>
      <c r="N50" s="6"/>
      <c r="O50" s="31"/>
      <c r="P50" s="6"/>
      <c r="Q50" s="6"/>
    </row>
    <row r="51">
      <c r="A51" s="25">
        <v>71.0</v>
      </c>
      <c r="B51" s="33">
        <v>71.0</v>
      </c>
      <c r="C51" s="34">
        <v>33.0</v>
      </c>
      <c r="D51" s="34">
        <v>46.0</v>
      </c>
      <c r="E51" s="34" t="s">
        <v>274</v>
      </c>
      <c r="F51" s="34" t="s">
        <v>275</v>
      </c>
      <c r="G51" s="34" t="s">
        <v>276</v>
      </c>
      <c r="H51" s="34" t="s">
        <v>20</v>
      </c>
      <c r="I51" s="34" t="s">
        <v>28</v>
      </c>
      <c r="J51" s="34" t="s">
        <v>277</v>
      </c>
      <c r="K51" s="34" t="s">
        <v>134</v>
      </c>
      <c r="L51" s="33"/>
      <c r="M51" s="29" t="s">
        <v>278</v>
      </c>
      <c r="N51" s="6"/>
      <c r="O51" s="31"/>
      <c r="P51" s="6"/>
      <c r="Q51" s="6"/>
    </row>
    <row r="52">
      <c r="A52" s="25">
        <v>71.0</v>
      </c>
      <c r="B52" s="37">
        <v>71.0</v>
      </c>
      <c r="C52" s="34">
        <v>3.0</v>
      </c>
      <c r="D52" s="34">
        <v>47.0</v>
      </c>
      <c r="E52" s="34" t="s">
        <v>279</v>
      </c>
      <c r="F52" s="34" t="s">
        <v>280</v>
      </c>
      <c r="G52" s="34" t="s">
        <v>281</v>
      </c>
      <c r="H52" s="34" t="s">
        <v>104</v>
      </c>
      <c r="I52" s="34" t="s">
        <v>21</v>
      </c>
      <c r="J52" s="34" t="s">
        <v>282</v>
      </c>
      <c r="K52" s="34" t="s">
        <v>283</v>
      </c>
      <c r="L52" s="33"/>
      <c r="M52" s="29" t="s">
        <v>284</v>
      </c>
      <c r="N52" s="6"/>
      <c r="O52" s="31"/>
      <c r="P52" s="6"/>
      <c r="Q52" s="6"/>
    </row>
    <row r="53">
      <c r="A53" s="25">
        <v>71.0</v>
      </c>
      <c r="B53" s="33">
        <v>71.0</v>
      </c>
      <c r="C53" s="34">
        <v>58.0</v>
      </c>
      <c r="D53" s="34">
        <v>48.0</v>
      </c>
      <c r="E53" s="36" t="s">
        <v>285</v>
      </c>
      <c r="F53" s="34" t="s">
        <v>286</v>
      </c>
      <c r="G53" s="34" t="s">
        <v>287</v>
      </c>
      <c r="H53" s="34" t="s">
        <v>20</v>
      </c>
      <c r="I53" s="34" t="s">
        <v>49</v>
      </c>
      <c r="J53" s="34" t="s">
        <v>167</v>
      </c>
      <c r="K53" s="34" t="s">
        <v>168</v>
      </c>
      <c r="L53" s="33"/>
      <c r="M53" s="29" t="s">
        <v>288</v>
      </c>
      <c r="N53" s="6"/>
      <c r="O53" s="31"/>
      <c r="P53" s="6"/>
      <c r="Q53" s="6"/>
    </row>
    <row r="54">
      <c r="A54" s="25">
        <v>71.0</v>
      </c>
      <c r="B54" s="33">
        <v>71.0</v>
      </c>
      <c r="C54" s="34">
        <v>28.0</v>
      </c>
      <c r="D54" s="34">
        <v>49.0</v>
      </c>
      <c r="E54" s="34" t="s">
        <v>289</v>
      </c>
      <c r="F54" s="34" t="s">
        <v>290</v>
      </c>
      <c r="G54" s="34" t="s">
        <v>291</v>
      </c>
      <c r="H54" s="34" t="s">
        <v>20</v>
      </c>
      <c r="I54" s="34" t="s">
        <v>68</v>
      </c>
      <c r="J54" s="34" t="s">
        <v>140</v>
      </c>
      <c r="K54" s="34" t="s">
        <v>70</v>
      </c>
      <c r="L54" s="33"/>
      <c r="M54" s="29" t="s">
        <v>292</v>
      </c>
      <c r="N54" s="6"/>
      <c r="O54" s="31"/>
      <c r="P54" s="6"/>
      <c r="Q54" s="6"/>
    </row>
    <row r="55">
      <c r="A55" s="25">
        <v>71.0</v>
      </c>
      <c r="B55" s="33">
        <v>71.0</v>
      </c>
      <c r="C55" s="34">
        <v>33.0</v>
      </c>
      <c r="D55" s="34">
        <v>50.0</v>
      </c>
      <c r="E55" s="36" t="s">
        <v>293</v>
      </c>
      <c r="F55" s="34" t="s">
        <v>294</v>
      </c>
      <c r="G55" s="34" t="s">
        <v>295</v>
      </c>
      <c r="H55" s="34" t="s">
        <v>20</v>
      </c>
      <c r="I55" s="34" t="s">
        <v>97</v>
      </c>
      <c r="J55" s="34" t="s">
        <v>296</v>
      </c>
      <c r="K55" s="34" t="s">
        <v>112</v>
      </c>
      <c r="L55" s="33"/>
      <c r="M55" s="29" t="s">
        <v>297</v>
      </c>
      <c r="N55" s="6"/>
      <c r="O55" s="31"/>
      <c r="P55" s="6"/>
      <c r="Q55" s="6"/>
    </row>
    <row r="56">
      <c r="A56" s="25">
        <v>71.0</v>
      </c>
      <c r="B56" s="33">
        <v>71.0</v>
      </c>
      <c r="C56" s="34">
        <v>53.0</v>
      </c>
      <c r="D56" s="34">
        <v>51.0</v>
      </c>
      <c r="E56" s="36" t="s">
        <v>298</v>
      </c>
      <c r="F56" s="34" t="s">
        <v>299</v>
      </c>
      <c r="G56" s="34" t="s">
        <v>300</v>
      </c>
      <c r="H56" s="34" t="s">
        <v>20</v>
      </c>
      <c r="I56" s="34" t="s">
        <v>90</v>
      </c>
      <c r="J56" s="34" t="s">
        <v>301</v>
      </c>
      <c r="K56" s="34" t="s">
        <v>92</v>
      </c>
      <c r="L56" s="33"/>
      <c r="M56" s="29" t="s">
        <v>302</v>
      </c>
      <c r="N56" s="6"/>
      <c r="O56" s="31"/>
      <c r="P56" s="6"/>
      <c r="Q56" s="6"/>
    </row>
    <row r="57">
      <c r="A57" s="25">
        <v>71.0</v>
      </c>
      <c r="B57" s="33">
        <v>71.0</v>
      </c>
      <c r="C57" s="34">
        <v>28.0</v>
      </c>
      <c r="D57" s="34">
        <v>52.0</v>
      </c>
      <c r="E57" s="34" t="s">
        <v>303</v>
      </c>
      <c r="F57" s="34" t="s">
        <v>304</v>
      </c>
      <c r="G57" s="34" t="s">
        <v>305</v>
      </c>
      <c r="H57" s="34" t="s">
        <v>20</v>
      </c>
      <c r="I57" s="34" t="s">
        <v>68</v>
      </c>
      <c r="J57" s="34" t="s">
        <v>140</v>
      </c>
      <c r="K57" s="34" t="s">
        <v>70</v>
      </c>
      <c r="L57" s="33"/>
      <c r="M57" s="29" t="s">
        <v>306</v>
      </c>
      <c r="N57" s="6"/>
      <c r="O57" s="31"/>
      <c r="P57" s="6"/>
      <c r="Q57" s="6"/>
    </row>
    <row r="58">
      <c r="A58" s="25">
        <v>71.0</v>
      </c>
      <c r="B58" s="33">
        <v>71.0</v>
      </c>
      <c r="C58" s="34">
        <v>20.0</v>
      </c>
      <c r="D58" s="34">
        <v>53.0</v>
      </c>
      <c r="E58" s="34" t="s">
        <v>307</v>
      </c>
      <c r="F58" s="34" t="s">
        <v>308</v>
      </c>
      <c r="G58" s="34" t="s">
        <v>309</v>
      </c>
      <c r="H58" s="34" t="s">
        <v>20</v>
      </c>
      <c r="I58" s="34" t="s">
        <v>28</v>
      </c>
      <c r="J58" s="34" t="s">
        <v>310</v>
      </c>
      <c r="K58" s="34" t="s">
        <v>311</v>
      </c>
      <c r="L58" s="33"/>
      <c r="M58" s="29" t="s">
        <v>312</v>
      </c>
      <c r="N58" s="6"/>
      <c r="O58" s="31"/>
      <c r="P58" s="6"/>
      <c r="Q58" s="6"/>
    </row>
    <row r="59">
      <c r="A59" s="25">
        <v>71.0</v>
      </c>
      <c r="B59" s="33">
        <v>71.0</v>
      </c>
      <c r="C59" s="34">
        <v>26.0</v>
      </c>
      <c r="D59" s="34">
        <v>54.0</v>
      </c>
      <c r="E59" s="34" t="s">
        <v>313</v>
      </c>
      <c r="F59" s="34" t="s">
        <v>314</v>
      </c>
      <c r="G59" s="34" t="s">
        <v>315</v>
      </c>
      <c r="H59" s="34" t="s">
        <v>20</v>
      </c>
      <c r="I59" s="34" t="s">
        <v>28</v>
      </c>
      <c r="J59" s="34" t="s">
        <v>316</v>
      </c>
      <c r="K59" s="34" t="s">
        <v>84</v>
      </c>
      <c r="L59" s="33"/>
      <c r="M59" s="29" t="s">
        <v>317</v>
      </c>
      <c r="N59" s="6"/>
      <c r="O59" s="31"/>
      <c r="P59" s="6"/>
      <c r="Q59" s="6"/>
    </row>
    <row r="60">
      <c r="A60" s="25">
        <v>71.0</v>
      </c>
      <c r="B60" s="33">
        <v>71.0</v>
      </c>
      <c r="C60" s="34">
        <v>47.0</v>
      </c>
      <c r="D60" s="34">
        <v>55.0</v>
      </c>
      <c r="E60" s="36" t="s">
        <v>318</v>
      </c>
      <c r="F60" s="34" t="s">
        <v>319</v>
      </c>
      <c r="G60" s="34" t="s">
        <v>320</v>
      </c>
      <c r="H60" s="34" t="s">
        <v>104</v>
      </c>
      <c r="I60" s="34" t="s">
        <v>61</v>
      </c>
      <c r="J60" s="34" t="s">
        <v>173</v>
      </c>
      <c r="K60" s="34" t="s">
        <v>106</v>
      </c>
      <c r="L60" s="33"/>
      <c r="M60" s="29" t="s">
        <v>321</v>
      </c>
      <c r="N60" s="6"/>
      <c r="O60" s="31"/>
      <c r="P60" s="6"/>
      <c r="Q60" s="6"/>
    </row>
    <row r="61">
      <c r="A61" s="25">
        <v>71.0</v>
      </c>
      <c r="B61" s="33">
        <v>71.0</v>
      </c>
      <c r="C61" s="34">
        <v>15.0</v>
      </c>
      <c r="D61" s="34">
        <v>56.0</v>
      </c>
      <c r="E61" s="36" t="s">
        <v>322</v>
      </c>
      <c r="F61" s="34" t="s">
        <v>323</v>
      </c>
      <c r="G61" s="34" t="s">
        <v>324</v>
      </c>
      <c r="H61" s="34" t="s">
        <v>20</v>
      </c>
      <c r="I61" s="34" t="s">
        <v>42</v>
      </c>
      <c r="J61" s="34" t="s">
        <v>325</v>
      </c>
      <c r="K61" s="34" t="s">
        <v>44</v>
      </c>
      <c r="L61" s="33"/>
      <c r="M61" s="29" t="s">
        <v>326</v>
      </c>
      <c r="N61" s="6"/>
      <c r="O61" s="31"/>
      <c r="P61" s="6"/>
      <c r="Q61" s="6"/>
    </row>
    <row r="62">
      <c r="A62" s="25">
        <v>71.0</v>
      </c>
      <c r="B62" s="33">
        <v>71.0</v>
      </c>
      <c r="C62" s="34">
        <v>39.0</v>
      </c>
      <c r="D62" s="34">
        <v>57.0</v>
      </c>
      <c r="E62" s="36" t="s">
        <v>327</v>
      </c>
      <c r="F62" s="34" t="s">
        <v>328</v>
      </c>
      <c r="G62" s="34" t="s">
        <v>329</v>
      </c>
      <c r="H62" s="34" t="s">
        <v>104</v>
      </c>
      <c r="I62" s="34" t="s">
        <v>61</v>
      </c>
      <c r="J62" s="34" t="s">
        <v>330</v>
      </c>
      <c r="K62" s="34" t="s">
        <v>331</v>
      </c>
      <c r="L62" s="33"/>
      <c r="M62" s="29" t="s">
        <v>332</v>
      </c>
      <c r="N62" s="6"/>
      <c r="O62" s="31"/>
      <c r="P62" s="6"/>
      <c r="Q62" s="6"/>
    </row>
    <row r="63">
      <c r="A63" s="25">
        <v>71.0</v>
      </c>
      <c r="B63" s="33">
        <v>71.0</v>
      </c>
      <c r="C63" s="34">
        <v>12.0</v>
      </c>
      <c r="D63" s="34">
        <v>58.0</v>
      </c>
      <c r="E63" s="36" t="s">
        <v>333</v>
      </c>
      <c r="F63" s="34" t="s">
        <v>334</v>
      </c>
      <c r="G63" s="34" t="s">
        <v>335</v>
      </c>
      <c r="H63" s="34" t="s">
        <v>20</v>
      </c>
      <c r="I63" s="34" t="s">
        <v>75</v>
      </c>
      <c r="J63" s="34" t="s">
        <v>246</v>
      </c>
      <c r="K63" s="34" t="s">
        <v>77</v>
      </c>
      <c r="L63" s="33"/>
      <c r="M63" s="29" t="s">
        <v>336</v>
      </c>
      <c r="N63" s="6"/>
      <c r="O63" s="31"/>
      <c r="P63" s="6"/>
      <c r="Q63" s="6"/>
    </row>
    <row r="64">
      <c r="A64" s="25" t="str">
        <f t="shared" ref="A64:A85" si="2">IF(B64=99,"98+",B64)</f>
        <v/>
      </c>
      <c r="B64" s="33"/>
      <c r="C64" s="34"/>
      <c r="D64" s="34"/>
      <c r="E64" s="36"/>
      <c r="F64" s="34"/>
      <c r="G64" s="34"/>
      <c r="H64" s="34"/>
      <c r="I64" s="34"/>
      <c r="J64" s="34"/>
      <c r="K64" s="34"/>
      <c r="L64" s="33"/>
      <c r="M64" s="29"/>
      <c r="O64" s="40"/>
    </row>
    <row r="65">
      <c r="A65" s="25" t="str">
        <f t="shared" si="2"/>
        <v/>
      </c>
      <c r="B65" s="33"/>
      <c r="C65" s="34"/>
      <c r="D65" s="34"/>
      <c r="E65" s="36"/>
      <c r="F65" s="34"/>
      <c r="G65" s="34"/>
      <c r="H65" s="34"/>
      <c r="I65" s="34"/>
      <c r="J65" s="34"/>
      <c r="K65" s="34"/>
      <c r="L65" s="33"/>
      <c r="M65" s="29"/>
      <c r="O65" s="40"/>
    </row>
    <row r="66">
      <c r="A66" s="25" t="str">
        <f t="shared" si="2"/>
        <v/>
      </c>
      <c r="B66" s="33"/>
      <c r="C66" s="34"/>
      <c r="D66" s="34"/>
      <c r="E66" s="36"/>
      <c r="F66" s="34"/>
      <c r="G66" s="34"/>
      <c r="H66" s="34"/>
      <c r="I66" s="34"/>
      <c r="J66" s="34"/>
      <c r="K66" s="34"/>
      <c r="L66" s="33"/>
      <c r="M66" s="29"/>
      <c r="O66" s="40"/>
    </row>
    <row r="67">
      <c r="A67" s="25" t="str">
        <f t="shared" si="2"/>
        <v/>
      </c>
      <c r="B67" s="33"/>
      <c r="C67" s="34"/>
      <c r="D67" s="34"/>
      <c r="E67" s="36"/>
      <c r="F67" s="34"/>
      <c r="G67" s="34"/>
      <c r="H67" s="34"/>
      <c r="I67" s="34"/>
      <c r="J67" s="34"/>
      <c r="K67" s="34"/>
      <c r="L67" s="33"/>
      <c r="M67" s="29"/>
      <c r="O67" s="40"/>
    </row>
    <row r="68">
      <c r="A68" s="25" t="str">
        <f t="shared" si="2"/>
        <v/>
      </c>
      <c r="B68" s="33"/>
      <c r="C68" s="34"/>
      <c r="D68" s="34"/>
      <c r="E68" s="36"/>
      <c r="F68" s="34"/>
      <c r="G68" s="34"/>
      <c r="H68" s="34"/>
      <c r="I68" s="34"/>
      <c r="J68" s="34"/>
      <c r="K68" s="34"/>
      <c r="L68" s="33"/>
      <c r="M68" s="29"/>
      <c r="O68" s="40"/>
    </row>
    <row r="69">
      <c r="A69" s="25" t="str">
        <f t="shared" si="2"/>
        <v/>
      </c>
      <c r="B69" s="33"/>
      <c r="C69" s="34"/>
      <c r="D69" s="34"/>
      <c r="E69" s="36"/>
      <c r="F69" s="34"/>
      <c r="G69" s="34"/>
      <c r="H69" s="34"/>
      <c r="I69" s="34"/>
      <c r="J69" s="34"/>
      <c r="K69" s="34"/>
      <c r="L69" s="33"/>
      <c r="M69" s="29"/>
      <c r="O69" s="40"/>
    </row>
    <row r="70">
      <c r="A70" s="25" t="str">
        <f t="shared" si="2"/>
        <v/>
      </c>
      <c r="B70" s="33"/>
      <c r="C70" s="34"/>
      <c r="D70" s="34"/>
      <c r="E70" s="36"/>
      <c r="F70" s="34"/>
      <c r="G70" s="34"/>
      <c r="H70" s="34"/>
      <c r="I70" s="34"/>
      <c r="J70" s="34"/>
      <c r="K70" s="34"/>
      <c r="L70" s="33"/>
      <c r="M70" s="29"/>
      <c r="O70" s="40"/>
    </row>
    <row r="71">
      <c r="A71" s="25" t="str">
        <f t="shared" si="2"/>
        <v/>
      </c>
      <c r="B71" s="33"/>
      <c r="C71" s="34"/>
      <c r="D71" s="34"/>
      <c r="E71" s="36"/>
      <c r="F71" s="34"/>
      <c r="G71" s="34"/>
      <c r="H71" s="34"/>
      <c r="I71" s="34"/>
      <c r="J71" s="34"/>
      <c r="K71" s="34"/>
      <c r="L71" s="33"/>
      <c r="M71" s="29"/>
      <c r="O71" s="40"/>
    </row>
    <row r="72">
      <c r="A72" s="25" t="str">
        <f t="shared" si="2"/>
        <v/>
      </c>
      <c r="B72" s="33"/>
      <c r="C72" s="34"/>
      <c r="D72" s="34"/>
      <c r="E72" s="36"/>
      <c r="F72" s="34"/>
      <c r="G72" s="34"/>
      <c r="H72" s="34"/>
      <c r="I72" s="34"/>
      <c r="J72" s="34"/>
      <c r="K72" s="34"/>
      <c r="L72" s="33"/>
      <c r="M72" s="29"/>
      <c r="O72" s="40"/>
    </row>
    <row r="73">
      <c r="A73" s="25" t="str">
        <f t="shared" si="2"/>
        <v/>
      </c>
      <c r="B73" s="33"/>
      <c r="C73" s="34"/>
      <c r="D73" s="34"/>
      <c r="E73" s="36"/>
      <c r="F73" s="34"/>
      <c r="G73" s="34"/>
      <c r="H73" s="34"/>
      <c r="I73" s="34"/>
      <c r="J73" s="34"/>
      <c r="K73" s="34"/>
      <c r="L73" s="33"/>
      <c r="M73" s="29"/>
      <c r="O73" s="40"/>
    </row>
    <row r="74">
      <c r="A74" s="25" t="str">
        <f t="shared" si="2"/>
        <v/>
      </c>
      <c r="B74" s="33"/>
      <c r="C74" s="34"/>
      <c r="D74" s="34"/>
      <c r="E74" s="36"/>
      <c r="F74" s="34"/>
      <c r="G74" s="34"/>
      <c r="H74" s="34"/>
      <c r="I74" s="34"/>
      <c r="J74" s="34"/>
      <c r="K74" s="34"/>
      <c r="L74" s="33"/>
      <c r="M74" s="29"/>
      <c r="O74" s="40"/>
    </row>
    <row r="75">
      <c r="A75" s="25" t="str">
        <f t="shared" si="2"/>
        <v/>
      </c>
      <c r="B75" s="33"/>
      <c r="C75" s="34"/>
      <c r="D75" s="34"/>
      <c r="E75" s="36"/>
      <c r="F75" s="34"/>
      <c r="G75" s="34"/>
      <c r="H75" s="34"/>
      <c r="I75" s="34"/>
      <c r="J75" s="34"/>
      <c r="K75" s="34"/>
      <c r="L75" s="33"/>
      <c r="M75" s="29"/>
      <c r="O75" s="40"/>
    </row>
    <row r="76">
      <c r="A76" s="25" t="str">
        <f t="shared" si="2"/>
        <v/>
      </c>
      <c r="B76" s="33"/>
      <c r="C76" s="34"/>
      <c r="D76" s="34"/>
      <c r="E76" s="36"/>
      <c r="F76" s="34"/>
      <c r="G76" s="34"/>
      <c r="H76" s="34"/>
      <c r="I76" s="34"/>
      <c r="J76" s="34"/>
      <c r="K76" s="34"/>
      <c r="L76" s="33"/>
      <c r="M76" s="29"/>
      <c r="O76" s="40"/>
    </row>
    <row r="77">
      <c r="A77" s="25" t="str">
        <f t="shared" si="2"/>
        <v/>
      </c>
      <c r="B77" s="37"/>
      <c r="C77" s="33"/>
      <c r="D77" s="34"/>
      <c r="E77" s="34"/>
      <c r="F77" s="36"/>
      <c r="G77" s="34"/>
      <c r="H77" s="34"/>
      <c r="I77" s="34"/>
      <c r="J77" s="34"/>
      <c r="K77" s="34"/>
      <c r="L77" s="34"/>
      <c r="M77" s="33"/>
      <c r="N77" s="29"/>
      <c r="O77" s="40"/>
    </row>
    <row r="78">
      <c r="A78" s="25" t="str">
        <f t="shared" si="2"/>
        <v/>
      </c>
      <c r="B78" s="37"/>
      <c r="C78" s="33"/>
      <c r="D78" s="34"/>
      <c r="E78" s="34"/>
      <c r="F78" s="36"/>
      <c r="G78" s="34"/>
      <c r="H78" s="34"/>
      <c r="I78" s="34"/>
      <c r="J78" s="34"/>
      <c r="K78" s="34"/>
      <c r="L78" s="34"/>
      <c r="M78" s="33"/>
      <c r="N78" s="29"/>
      <c r="O78" s="40"/>
    </row>
    <row r="79">
      <c r="A79" s="25" t="str">
        <f t="shared" si="2"/>
        <v/>
      </c>
      <c r="B79" s="37"/>
      <c r="C79" s="33"/>
      <c r="D79" s="34"/>
      <c r="E79" s="34"/>
      <c r="F79" s="36"/>
      <c r="G79" s="34"/>
      <c r="H79" s="34"/>
      <c r="I79" s="34"/>
      <c r="J79" s="34"/>
      <c r="K79" s="34"/>
      <c r="L79" s="34"/>
      <c r="M79" s="33"/>
      <c r="N79" s="29"/>
      <c r="O79" s="40"/>
    </row>
    <row r="80">
      <c r="A80" s="25" t="str">
        <f t="shared" si="2"/>
        <v/>
      </c>
      <c r="B80" s="37"/>
      <c r="C80" s="33"/>
      <c r="D80" s="34"/>
      <c r="E80" s="34"/>
      <c r="F80" s="36"/>
      <c r="G80" s="34"/>
      <c r="H80" s="34"/>
      <c r="I80" s="34"/>
      <c r="J80" s="34"/>
      <c r="K80" s="34"/>
      <c r="L80" s="34"/>
      <c r="M80" s="33"/>
      <c r="N80" s="29"/>
      <c r="O80" s="40"/>
    </row>
    <row r="81">
      <c r="A81" s="25" t="str">
        <f t="shared" si="2"/>
        <v/>
      </c>
      <c r="B81" s="37"/>
      <c r="C81" s="33"/>
      <c r="D81" s="34"/>
      <c r="E81" s="34"/>
      <c r="F81" s="36"/>
      <c r="G81" s="34"/>
      <c r="H81" s="34"/>
      <c r="I81" s="34"/>
      <c r="J81" s="34"/>
      <c r="K81" s="34"/>
      <c r="L81" s="34"/>
      <c r="M81" s="33"/>
      <c r="N81" s="29"/>
    </row>
    <row r="82">
      <c r="A82" s="25" t="str">
        <f t="shared" si="2"/>
        <v/>
      </c>
      <c r="B82" s="37"/>
      <c r="C82" s="33"/>
      <c r="D82" s="34"/>
      <c r="E82" s="34"/>
      <c r="F82" s="36"/>
      <c r="G82" s="34"/>
      <c r="H82" s="34"/>
      <c r="I82" s="34"/>
      <c r="J82" s="34"/>
      <c r="K82" s="34"/>
      <c r="L82" s="34"/>
      <c r="M82" s="33"/>
      <c r="N82" s="29"/>
    </row>
    <row r="83">
      <c r="A83" s="25" t="str">
        <f t="shared" si="2"/>
        <v/>
      </c>
      <c r="B83" s="37"/>
      <c r="C83" s="33"/>
      <c r="D83" s="34"/>
      <c r="E83" s="34"/>
      <c r="F83" s="36"/>
      <c r="G83" s="34"/>
      <c r="H83" s="34"/>
      <c r="I83" s="34"/>
      <c r="J83" s="34"/>
      <c r="K83" s="34"/>
      <c r="L83" s="34"/>
      <c r="M83" s="33"/>
      <c r="N83" s="29"/>
    </row>
    <row r="84">
      <c r="A84" s="25" t="str">
        <f t="shared" si="2"/>
        <v/>
      </c>
      <c r="B84" s="37"/>
      <c r="C84" s="33"/>
      <c r="D84" s="34"/>
      <c r="E84" s="34"/>
      <c r="F84" s="36"/>
      <c r="G84" s="34"/>
      <c r="H84" s="34"/>
      <c r="I84" s="34"/>
      <c r="J84" s="34"/>
      <c r="K84" s="34"/>
      <c r="L84" s="34"/>
      <c r="M84" s="33"/>
      <c r="N84" s="29"/>
    </row>
    <row r="85">
      <c r="A85" s="25" t="str">
        <f t="shared" si="2"/>
        <v/>
      </c>
      <c r="B85" s="37"/>
      <c r="C85" s="33"/>
      <c r="D85" s="34"/>
      <c r="E85" s="34"/>
      <c r="F85" s="36"/>
      <c r="G85" s="34"/>
      <c r="H85" s="34"/>
      <c r="I85" s="34"/>
      <c r="J85" s="34"/>
      <c r="K85" s="34"/>
      <c r="L85" s="34"/>
      <c r="M85" s="33"/>
      <c r="N85" s="29"/>
    </row>
    <row r="86">
      <c r="M86" s="41"/>
    </row>
    <row r="87">
      <c r="M87" s="41"/>
    </row>
    <row r="88">
      <c r="M88" s="41"/>
    </row>
    <row r="89">
      <c r="M89" s="41"/>
    </row>
    <row r="90">
      <c r="M90" s="41"/>
    </row>
    <row r="91">
      <c r="M91" s="41"/>
    </row>
    <row r="92">
      <c r="M92" s="41"/>
    </row>
    <row r="93">
      <c r="M93" s="41"/>
    </row>
    <row r="94">
      <c r="M94" s="41"/>
    </row>
    <row r="95">
      <c r="M95" s="41"/>
    </row>
    <row r="96">
      <c r="M96" s="41"/>
    </row>
    <row r="97">
      <c r="M97" s="41"/>
    </row>
    <row r="98">
      <c r="M98" s="41"/>
    </row>
    <row r="99">
      <c r="M99" s="41"/>
    </row>
    <row r="100">
      <c r="M100" s="41"/>
    </row>
    <row r="101">
      <c r="M101" s="41"/>
    </row>
    <row r="102">
      <c r="M102" s="41"/>
    </row>
    <row r="103">
      <c r="M103" s="41"/>
    </row>
    <row r="104">
      <c r="M104" s="41"/>
    </row>
    <row r="105">
      <c r="M105" s="41"/>
    </row>
    <row r="106">
      <c r="M106" s="41"/>
    </row>
    <row r="107">
      <c r="M107" s="41"/>
    </row>
    <row r="108">
      <c r="M108" s="41"/>
    </row>
    <row r="109">
      <c r="M109" s="41"/>
    </row>
    <row r="110">
      <c r="M110" s="41"/>
    </row>
    <row r="111">
      <c r="M111" s="41"/>
    </row>
    <row r="112">
      <c r="M112" s="41"/>
    </row>
    <row r="113">
      <c r="M113" s="41"/>
    </row>
    <row r="114">
      <c r="M114" s="41"/>
    </row>
    <row r="115">
      <c r="M115" s="41"/>
    </row>
    <row r="116">
      <c r="M116" s="41"/>
    </row>
    <row r="117">
      <c r="M117" s="41"/>
    </row>
    <row r="118">
      <c r="M118" s="41"/>
    </row>
    <row r="119">
      <c r="M119" s="41"/>
    </row>
    <row r="120">
      <c r="M120" s="41"/>
    </row>
    <row r="121">
      <c r="M121" s="41"/>
    </row>
    <row r="122">
      <c r="M122" s="41"/>
    </row>
    <row r="123">
      <c r="M123" s="41"/>
    </row>
    <row r="124">
      <c r="M124" s="41"/>
    </row>
    <row r="125">
      <c r="M125" s="41"/>
    </row>
    <row r="126">
      <c r="M126" s="41"/>
    </row>
    <row r="127">
      <c r="M127" s="41"/>
    </row>
    <row r="128">
      <c r="M128" s="41"/>
    </row>
    <row r="129">
      <c r="M129" s="41"/>
    </row>
    <row r="130">
      <c r="M130" s="41"/>
    </row>
    <row r="131">
      <c r="M131" s="41"/>
    </row>
    <row r="132">
      <c r="M132" s="41"/>
    </row>
    <row r="133">
      <c r="M133" s="41"/>
    </row>
    <row r="134">
      <c r="M134" s="41"/>
    </row>
    <row r="135">
      <c r="M135" s="41"/>
    </row>
    <row r="136">
      <c r="M136" s="41"/>
    </row>
    <row r="137">
      <c r="M137" s="41"/>
    </row>
    <row r="138">
      <c r="M138" s="41"/>
    </row>
    <row r="139">
      <c r="M139" s="41"/>
    </row>
    <row r="140">
      <c r="M140" s="41"/>
    </row>
    <row r="141">
      <c r="M141" s="41"/>
    </row>
    <row r="142">
      <c r="M142" s="41"/>
    </row>
    <row r="143">
      <c r="M143" s="41"/>
    </row>
    <row r="144">
      <c r="M144" s="41"/>
    </row>
    <row r="145">
      <c r="M145" s="41"/>
    </row>
    <row r="146">
      <c r="M146" s="41"/>
    </row>
    <row r="147">
      <c r="M147" s="41"/>
    </row>
    <row r="148">
      <c r="M148" s="41"/>
    </row>
    <row r="149">
      <c r="M149" s="41"/>
    </row>
    <row r="150">
      <c r="M150" s="41"/>
    </row>
    <row r="151">
      <c r="M151" s="41"/>
    </row>
    <row r="152">
      <c r="M152" s="41"/>
    </row>
    <row r="153">
      <c r="M153" s="41"/>
    </row>
    <row r="154">
      <c r="M154" s="41"/>
    </row>
    <row r="155">
      <c r="M155" s="41"/>
    </row>
    <row r="156">
      <c r="M156" s="41"/>
    </row>
    <row r="157">
      <c r="M157" s="41"/>
    </row>
    <row r="158">
      <c r="M158" s="41"/>
    </row>
    <row r="159">
      <c r="M159" s="41"/>
    </row>
    <row r="160">
      <c r="M160" s="41"/>
    </row>
    <row r="161">
      <c r="M161" s="41"/>
    </row>
    <row r="162">
      <c r="M162" s="41"/>
    </row>
    <row r="163">
      <c r="M163" s="41"/>
    </row>
    <row r="164">
      <c r="M164" s="41"/>
    </row>
    <row r="165">
      <c r="M165" s="41"/>
    </row>
    <row r="166">
      <c r="M166" s="41"/>
    </row>
    <row r="167">
      <c r="M167" s="41"/>
    </row>
    <row r="168">
      <c r="M168" s="41"/>
    </row>
    <row r="169">
      <c r="M169" s="41"/>
    </row>
    <row r="170">
      <c r="M170" s="41"/>
    </row>
    <row r="171">
      <c r="M171" s="41"/>
    </row>
    <row r="172">
      <c r="M172" s="41"/>
    </row>
    <row r="173">
      <c r="M173" s="41"/>
    </row>
    <row r="174">
      <c r="M174" s="41"/>
    </row>
    <row r="175">
      <c r="M175" s="41"/>
    </row>
    <row r="176">
      <c r="M176" s="41"/>
    </row>
    <row r="177">
      <c r="M177" s="41"/>
    </row>
    <row r="178">
      <c r="M178" s="41"/>
    </row>
    <row r="179">
      <c r="M179" s="41"/>
    </row>
    <row r="180">
      <c r="M180" s="41"/>
    </row>
    <row r="181">
      <c r="M181" s="41"/>
    </row>
    <row r="182">
      <c r="M182" s="41"/>
    </row>
    <row r="183">
      <c r="M183" s="41"/>
    </row>
    <row r="184">
      <c r="M184" s="41"/>
    </row>
    <row r="185">
      <c r="M185" s="41"/>
    </row>
    <row r="186">
      <c r="M186" s="41"/>
    </row>
    <row r="187">
      <c r="M187" s="41"/>
    </row>
    <row r="188">
      <c r="M188" s="41"/>
    </row>
    <row r="189">
      <c r="M189" s="41"/>
    </row>
    <row r="190">
      <c r="M190" s="41"/>
    </row>
    <row r="191">
      <c r="M191" s="41"/>
    </row>
    <row r="192">
      <c r="M192" s="41"/>
    </row>
    <row r="193">
      <c r="M193" s="41"/>
    </row>
    <row r="194">
      <c r="M194" s="41"/>
    </row>
    <row r="195">
      <c r="M195" s="41"/>
    </row>
    <row r="196">
      <c r="M196" s="41"/>
    </row>
    <row r="197">
      <c r="M197" s="41"/>
    </row>
    <row r="198">
      <c r="M198" s="41"/>
    </row>
    <row r="199">
      <c r="M199" s="41"/>
    </row>
    <row r="200">
      <c r="M200" s="41"/>
    </row>
    <row r="201">
      <c r="M201" s="41"/>
    </row>
    <row r="202">
      <c r="M202" s="41"/>
    </row>
    <row r="203">
      <c r="M203" s="41"/>
    </row>
    <row r="204">
      <c r="M204" s="41"/>
    </row>
    <row r="205">
      <c r="M205" s="41"/>
    </row>
    <row r="206">
      <c r="M206" s="41"/>
    </row>
    <row r="207">
      <c r="M207" s="41"/>
    </row>
    <row r="208">
      <c r="M208" s="41"/>
    </row>
    <row r="209">
      <c r="M209" s="41"/>
    </row>
    <row r="210">
      <c r="M210" s="41"/>
    </row>
    <row r="211">
      <c r="M211" s="41"/>
    </row>
    <row r="212">
      <c r="M212" s="41"/>
    </row>
    <row r="213">
      <c r="M213" s="41"/>
    </row>
    <row r="214">
      <c r="M214" s="41"/>
    </row>
    <row r="215">
      <c r="M215" s="41"/>
    </row>
    <row r="216">
      <c r="M216" s="41"/>
    </row>
    <row r="217">
      <c r="M217" s="41"/>
    </row>
    <row r="218">
      <c r="M218" s="41"/>
    </row>
    <row r="219">
      <c r="M219" s="41"/>
    </row>
    <row r="220">
      <c r="M220" s="41"/>
    </row>
    <row r="221">
      <c r="M221" s="41"/>
    </row>
    <row r="222">
      <c r="M222" s="41"/>
    </row>
    <row r="223">
      <c r="M223" s="41"/>
    </row>
    <row r="224">
      <c r="M224" s="41"/>
    </row>
    <row r="225">
      <c r="M225" s="41"/>
    </row>
    <row r="226">
      <c r="M226" s="41"/>
    </row>
    <row r="227">
      <c r="M227" s="41"/>
    </row>
    <row r="228">
      <c r="M228" s="41"/>
    </row>
    <row r="229">
      <c r="M229" s="41"/>
    </row>
    <row r="230">
      <c r="M230" s="41"/>
    </row>
    <row r="231">
      <c r="M231" s="41"/>
    </row>
    <row r="232">
      <c r="M232" s="41"/>
    </row>
    <row r="233">
      <c r="M233" s="41"/>
    </row>
    <row r="234">
      <c r="M234" s="41"/>
    </row>
    <row r="235">
      <c r="M235" s="41"/>
    </row>
    <row r="236">
      <c r="M236" s="41"/>
    </row>
    <row r="237">
      <c r="M237" s="41"/>
    </row>
    <row r="238">
      <c r="M238" s="41"/>
    </row>
    <row r="239">
      <c r="M239" s="41"/>
    </row>
    <row r="240">
      <c r="M240" s="41"/>
    </row>
    <row r="241">
      <c r="M241" s="41"/>
    </row>
    <row r="242">
      <c r="M242" s="41"/>
    </row>
    <row r="243">
      <c r="M243" s="41"/>
    </row>
    <row r="244">
      <c r="M244" s="41"/>
    </row>
    <row r="245">
      <c r="M245" s="41"/>
    </row>
    <row r="246">
      <c r="M246" s="41"/>
    </row>
    <row r="247">
      <c r="M247" s="41"/>
    </row>
    <row r="248">
      <c r="M248" s="41"/>
    </row>
    <row r="249">
      <c r="M249" s="41"/>
    </row>
    <row r="250">
      <c r="M250" s="41"/>
    </row>
    <row r="251">
      <c r="M251" s="41"/>
    </row>
    <row r="252">
      <c r="M252" s="41"/>
    </row>
    <row r="253">
      <c r="M253" s="41"/>
    </row>
    <row r="254">
      <c r="M254" s="41"/>
    </row>
    <row r="255">
      <c r="M255" s="41"/>
    </row>
    <row r="256">
      <c r="M256" s="41"/>
    </row>
    <row r="257">
      <c r="M257" s="41"/>
    </row>
    <row r="258">
      <c r="M258" s="41"/>
    </row>
    <row r="259">
      <c r="M259" s="41"/>
    </row>
    <row r="260">
      <c r="M260" s="41"/>
    </row>
    <row r="261">
      <c r="M261" s="41"/>
    </row>
    <row r="262">
      <c r="M262" s="41"/>
    </row>
    <row r="263">
      <c r="M263" s="41"/>
    </row>
    <row r="264">
      <c r="M264" s="41"/>
    </row>
    <row r="265">
      <c r="M265" s="41"/>
    </row>
    <row r="266">
      <c r="M266" s="41"/>
    </row>
    <row r="267">
      <c r="M267" s="41"/>
    </row>
    <row r="268">
      <c r="M268" s="41"/>
    </row>
    <row r="269">
      <c r="M269" s="41"/>
    </row>
    <row r="270">
      <c r="M270" s="41"/>
    </row>
    <row r="271">
      <c r="M271" s="41"/>
    </row>
    <row r="272">
      <c r="M272" s="41"/>
    </row>
    <row r="273">
      <c r="M273" s="41"/>
    </row>
    <row r="274">
      <c r="M274" s="41"/>
    </row>
    <row r="275">
      <c r="M275" s="41"/>
    </row>
    <row r="276">
      <c r="M276" s="41"/>
    </row>
    <row r="277">
      <c r="M277" s="41"/>
    </row>
    <row r="278">
      <c r="M278" s="41"/>
    </row>
    <row r="279">
      <c r="M279" s="41"/>
    </row>
    <row r="280">
      <c r="M280" s="41"/>
    </row>
    <row r="281">
      <c r="M281" s="41"/>
    </row>
    <row r="282">
      <c r="M282" s="41"/>
    </row>
    <row r="283">
      <c r="M283" s="41"/>
    </row>
    <row r="284">
      <c r="M284" s="41"/>
    </row>
    <row r="285">
      <c r="M285" s="41"/>
    </row>
    <row r="286">
      <c r="M286" s="41"/>
    </row>
    <row r="287">
      <c r="M287" s="41"/>
    </row>
    <row r="288">
      <c r="M288" s="41"/>
    </row>
    <row r="289">
      <c r="M289" s="41"/>
    </row>
    <row r="290">
      <c r="M290" s="41"/>
    </row>
    <row r="291">
      <c r="M291" s="41"/>
    </row>
    <row r="292">
      <c r="M292" s="41"/>
    </row>
    <row r="293">
      <c r="M293" s="41"/>
    </row>
    <row r="294">
      <c r="M294" s="41"/>
    </row>
    <row r="295">
      <c r="M295" s="41"/>
    </row>
    <row r="296">
      <c r="M296" s="41"/>
    </row>
    <row r="297">
      <c r="M297" s="41"/>
    </row>
    <row r="298">
      <c r="M298" s="41"/>
    </row>
    <row r="299">
      <c r="M299" s="41"/>
    </row>
    <row r="300">
      <c r="M300" s="41"/>
    </row>
    <row r="301">
      <c r="M301" s="41"/>
    </row>
    <row r="302">
      <c r="M302" s="41"/>
    </row>
    <row r="303">
      <c r="M303" s="41"/>
    </row>
    <row r="304">
      <c r="M304" s="41"/>
    </row>
    <row r="305">
      <c r="M305" s="41"/>
    </row>
    <row r="306">
      <c r="M306" s="41"/>
    </row>
    <row r="307">
      <c r="M307" s="41"/>
    </row>
    <row r="308">
      <c r="M308" s="41"/>
    </row>
    <row r="309">
      <c r="M309" s="41"/>
    </row>
    <row r="310">
      <c r="M310" s="41"/>
    </row>
    <row r="311">
      <c r="M311" s="41"/>
    </row>
    <row r="312">
      <c r="M312" s="41"/>
    </row>
    <row r="313">
      <c r="M313" s="41"/>
    </row>
    <row r="314">
      <c r="M314" s="41"/>
    </row>
    <row r="315">
      <c r="M315" s="41"/>
    </row>
    <row r="316">
      <c r="M316" s="41"/>
    </row>
    <row r="317">
      <c r="M317" s="41"/>
    </row>
    <row r="318">
      <c r="M318" s="41"/>
    </row>
    <row r="319">
      <c r="M319" s="41"/>
    </row>
    <row r="320">
      <c r="M320" s="41"/>
    </row>
    <row r="321">
      <c r="M321" s="41"/>
    </row>
    <row r="322">
      <c r="M322" s="41"/>
    </row>
    <row r="323">
      <c r="M323" s="41"/>
    </row>
    <row r="324">
      <c r="M324" s="41"/>
    </row>
    <row r="325">
      <c r="M325" s="41"/>
    </row>
    <row r="326">
      <c r="M326" s="41"/>
    </row>
    <row r="327">
      <c r="M327" s="41"/>
    </row>
    <row r="328">
      <c r="M328" s="41"/>
    </row>
    <row r="329">
      <c r="M329" s="41"/>
    </row>
    <row r="330">
      <c r="M330" s="41"/>
    </row>
    <row r="331">
      <c r="M331" s="41"/>
    </row>
    <row r="332">
      <c r="M332" s="41"/>
    </row>
    <row r="333">
      <c r="M333" s="41"/>
    </row>
    <row r="334">
      <c r="M334" s="41"/>
    </row>
    <row r="335">
      <c r="M335" s="41"/>
    </row>
    <row r="336">
      <c r="M336" s="41"/>
    </row>
    <row r="337">
      <c r="M337" s="41"/>
    </row>
    <row r="338">
      <c r="M338" s="41"/>
    </row>
    <row r="339">
      <c r="M339" s="41"/>
    </row>
    <row r="340">
      <c r="M340" s="41"/>
    </row>
    <row r="341">
      <c r="M341" s="41"/>
    </row>
    <row r="342">
      <c r="M342" s="41"/>
    </row>
    <row r="343">
      <c r="M343" s="41"/>
    </row>
    <row r="344">
      <c r="M344" s="41"/>
    </row>
    <row r="345">
      <c r="M345" s="41"/>
    </row>
    <row r="346">
      <c r="M346" s="41"/>
    </row>
    <row r="347">
      <c r="M347" s="41"/>
    </row>
    <row r="348">
      <c r="M348" s="41"/>
    </row>
    <row r="349">
      <c r="M349" s="41"/>
    </row>
    <row r="350">
      <c r="M350" s="41"/>
    </row>
    <row r="351">
      <c r="M351" s="41"/>
    </row>
    <row r="352">
      <c r="M352" s="41"/>
    </row>
    <row r="353">
      <c r="M353" s="41"/>
    </row>
    <row r="354">
      <c r="M354" s="41"/>
    </row>
    <row r="355">
      <c r="M355" s="41"/>
    </row>
    <row r="356">
      <c r="M356" s="41"/>
    </row>
    <row r="357">
      <c r="M357" s="41"/>
    </row>
    <row r="358">
      <c r="M358" s="41"/>
    </row>
    <row r="359">
      <c r="M359" s="41"/>
    </row>
    <row r="360">
      <c r="M360" s="41"/>
    </row>
    <row r="361">
      <c r="M361" s="41"/>
    </row>
    <row r="362">
      <c r="M362" s="41"/>
    </row>
    <row r="363">
      <c r="M363" s="41"/>
    </row>
    <row r="364">
      <c r="M364" s="41"/>
    </row>
    <row r="365">
      <c r="M365" s="41"/>
    </row>
    <row r="366">
      <c r="M366" s="41"/>
    </row>
    <row r="367">
      <c r="M367" s="41"/>
    </row>
    <row r="368">
      <c r="M368" s="41"/>
    </row>
    <row r="369">
      <c r="M369" s="41"/>
    </row>
    <row r="370">
      <c r="M370" s="41"/>
    </row>
    <row r="371">
      <c r="M371" s="41"/>
    </row>
    <row r="372">
      <c r="M372" s="41"/>
    </row>
    <row r="373">
      <c r="M373" s="41"/>
    </row>
    <row r="374">
      <c r="M374" s="41"/>
    </row>
    <row r="375">
      <c r="M375" s="41"/>
    </row>
    <row r="376">
      <c r="M376" s="41"/>
    </row>
    <row r="377">
      <c r="M377" s="41"/>
    </row>
    <row r="378">
      <c r="M378" s="41"/>
    </row>
    <row r="379">
      <c r="M379" s="41"/>
    </row>
    <row r="380">
      <c r="M380" s="41"/>
    </row>
    <row r="381">
      <c r="M381" s="41"/>
    </row>
    <row r="382">
      <c r="M382" s="41"/>
    </row>
    <row r="383">
      <c r="M383" s="41"/>
    </row>
    <row r="384">
      <c r="M384" s="41"/>
    </row>
    <row r="385">
      <c r="M385" s="41"/>
    </row>
    <row r="386">
      <c r="M386" s="41"/>
    </row>
    <row r="387">
      <c r="M387" s="41"/>
    </row>
    <row r="388">
      <c r="M388" s="41"/>
    </row>
    <row r="389">
      <c r="M389" s="41"/>
    </row>
    <row r="390">
      <c r="M390" s="41"/>
    </row>
    <row r="391">
      <c r="M391" s="41"/>
    </row>
    <row r="392">
      <c r="M392" s="41"/>
    </row>
    <row r="393">
      <c r="M393" s="41"/>
    </row>
    <row r="394">
      <c r="M394" s="41"/>
    </row>
    <row r="395">
      <c r="M395" s="41"/>
    </row>
    <row r="396">
      <c r="M396" s="41"/>
    </row>
    <row r="397">
      <c r="M397" s="41"/>
    </row>
    <row r="398">
      <c r="M398" s="41"/>
    </row>
    <row r="399">
      <c r="M399" s="41"/>
    </row>
    <row r="400">
      <c r="M400" s="41"/>
    </row>
    <row r="401">
      <c r="M401" s="41"/>
    </row>
    <row r="402">
      <c r="M402" s="41"/>
    </row>
    <row r="403">
      <c r="M403" s="41"/>
    </row>
    <row r="404">
      <c r="M404" s="41"/>
    </row>
    <row r="405">
      <c r="M405" s="41"/>
    </row>
    <row r="406">
      <c r="M406" s="41"/>
    </row>
    <row r="407">
      <c r="M407" s="41"/>
    </row>
    <row r="408">
      <c r="M408" s="41"/>
    </row>
    <row r="409">
      <c r="M409" s="41"/>
    </row>
    <row r="410">
      <c r="M410" s="41"/>
    </row>
    <row r="411">
      <c r="M411" s="41"/>
    </row>
    <row r="412">
      <c r="M412" s="41"/>
    </row>
    <row r="413">
      <c r="M413" s="41"/>
    </row>
    <row r="414">
      <c r="M414" s="41"/>
    </row>
    <row r="415">
      <c r="M415" s="41"/>
    </row>
    <row r="416">
      <c r="M416" s="41"/>
    </row>
    <row r="417">
      <c r="M417" s="41"/>
    </row>
    <row r="418">
      <c r="M418" s="41"/>
    </row>
    <row r="419">
      <c r="M419" s="41"/>
    </row>
    <row r="420">
      <c r="M420" s="41"/>
    </row>
    <row r="421">
      <c r="M421" s="41"/>
    </row>
    <row r="422">
      <c r="M422" s="41"/>
    </row>
    <row r="423">
      <c r="M423" s="41"/>
    </row>
    <row r="424">
      <c r="M424" s="41"/>
    </row>
    <row r="425">
      <c r="M425" s="41"/>
    </row>
    <row r="426">
      <c r="M426" s="41"/>
    </row>
    <row r="427">
      <c r="M427" s="41"/>
    </row>
    <row r="428">
      <c r="M428" s="41"/>
    </row>
    <row r="429">
      <c r="M429" s="41"/>
    </row>
    <row r="430">
      <c r="M430" s="41"/>
    </row>
    <row r="431">
      <c r="M431" s="41"/>
    </row>
    <row r="432">
      <c r="M432" s="41"/>
    </row>
    <row r="433">
      <c r="M433" s="41"/>
    </row>
    <row r="434">
      <c r="M434" s="41"/>
    </row>
    <row r="435">
      <c r="M435" s="41"/>
    </row>
    <row r="436">
      <c r="M436" s="41"/>
    </row>
    <row r="437">
      <c r="M437" s="41"/>
    </row>
    <row r="438">
      <c r="M438" s="41"/>
    </row>
    <row r="439">
      <c r="M439" s="41"/>
    </row>
    <row r="440">
      <c r="M440" s="41"/>
    </row>
    <row r="441">
      <c r="M441" s="41"/>
    </row>
    <row r="442">
      <c r="M442" s="41"/>
    </row>
    <row r="443">
      <c r="M443" s="41"/>
    </row>
    <row r="444">
      <c r="M444" s="41"/>
    </row>
    <row r="445">
      <c r="M445" s="41"/>
    </row>
    <row r="446">
      <c r="M446" s="41"/>
    </row>
    <row r="447">
      <c r="M447" s="41"/>
    </row>
    <row r="448">
      <c r="M448" s="41"/>
    </row>
    <row r="449">
      <c r="M449" s="41"/>
    </row>
    <row r="450">
      <c r="M450" s="41"/>
    </row>
    <row r="451">
      <c r="M451" s="41"/>
    </row>
    <row r="452">
      <c r="M452" s="41"/>
    </row>
    <row r="453">
      <c r="M453" s="41"/>
    </row>
    <row r="454">
      <c r="M454" s="41"/>
    </row>
    <row r="455">
      <c r="M455" s="41"/>
    </row>
    <row r="456">
      <c r="M456" s="41"/>
    </row>
    <row r="457">
      <c r="M457" s="41"/>
    </row>
    <row r="458">
      <c r="M458" s="41"/>
    </row>
    <row r="459">
      <c r="M459" s="41"/>
    </row>
    <row r="460">
      <c r="M460" s="41"/>
    </row>
    <row r="461">
      <c r="M461" s="41"/>
    </row>
    <row r="462">
      <c r="M462" s="41"/>
    </row>
    <row r="463">
      <c r="M463" s="41"/>
    </row>
    <row r="464">
      <c r="M464" s="41"/>
    </row>
    <row r="465">
      <c r="M465" s="41"/>
    </row>
    <row r="466">
      <c r="M466" s="41"/>
    </row>
    <row r="467">
      <c r="M467" s="41"/>
    </row>
    <row r="468">
      <c r="M468" s="41"/>
    </row>
    <row r="469">
      <c r="M469" s="41"/>
    </row>
    <row r="470">
      <c r="M470" s="41"/>
    </row>
    <row r="471">
      <c r="M471" s="41"/>
    </row>
    <row r="472">
      <c r="M472" s="41"/>
    </row>
    <row r="473">
      <c r="M473" s="41"/>
    </row>
    <row r="474">
      <c r="M474" s="41"/>
    </row>
    <row r="475">
      <c r="M475" s="41"/>
    </row>
    <row r="476">
      <c r="M476" s="41"/>
    </row>
    <row r="477">
      <c r="M477" s="41"/>
    </row>
    <row r="478">
      <c r="M478" s="41"/>
    </row>
    <row r="479">
      <c r="M479" s="41"/>
    </row>
    <row r="480">
      <c r="M480" s="41"/>
    </row>
    <row r="481">
      <c r="M481" s="41"/>
    </row>
    <row r="482">
      <c r="M482" s="41"/>
    </row>
    <row r="483">
      <c r="M483" s="41"/>
    </row>
    <row r="484">
      <c r="M484" s="41"/>
    </row>
    <row r="485">
      <c r="M485" s="41"/>
    </row>
    <row r="486">
      <c r="M486" s="41"/>
    </row>
    <row r="487">
      <c r="M487" s="41"/>
    </row>
    <row r="488">
      <c r="M488" s="41"/>
    </row>
    <row r="489">
      <c r="M489" s="41"/>
    </row>
    <row r="490">
      <c r="M490" s="41"/>
    </row>
    <row r="491">
      <c r="M491" s="41"/>
    </row>
    <row r="492">
      <c r="M492" s="41"/>
    </row>
    <row r="493">
      <c r="M493" s="41"/>
    </row>
    <row r="494">
      <c r="M494" s="41"/>
    </row>
    <row r="495">
      <c r="M495" s="41"/>
    </row>
    <row r="496">
      <c r="M496" s="41"/>
    </row>
    <row r="497">
      <c r="M497" s="41"/>
    </row>
    <row r="498">
      <c r="M498" s="41"/>
    </row>
    <row r="499">
      <c r="M499" s="41"/>
    </row>
    <row r="500">
      <c r="M500" s="41"/>
    </row>
    <row r="501">
      <c r="M501" s="41"/>
    </row>
    <row r="502">
      <c r="M502" s="41"/>
    </row>
    <row r="503">
      <c r="M503" s="41"/>
    </row>
    <row r="504">
      <c r="M504" s="41"/>
    </row>
    <row r="505">
      <c r="M505" s="41"/>
    </row>
    <row r="506">
      <c r="M506" s="41"/>
    </row>
    <row r="507">
      <c r="M507" s="41"/>
    </row>
    <row r="508">
      <c r="M508" s="41"/>
    </row>
    <row r="509">
      <c r="M509" s="41"/>
    </row>
    <row r="510">
      <c r="M510" s="41"/>
    </row>
    <row r="511">
      <c r="M511" s="41"/>
    </row>
    <row r="512">
      <c r="M512" s="41"/>
    </row>
    <row r="513">
      <c r="M513" s="41"/>
    </row>
    <row r="514">
      <c r="M514" s="41"/>
    </row>
    <row r="515">
      <c r="M515" s="41"/>
    </row>
    <row r="516">
      <c r="M516" s="41"/>
    </row>
    <row r="517">
      <c r="M517" s="41"/>
    </row>
    <row r="518">
      <c r="M518" s="41"/>
    </row>
    <row r="519">
      <c r="M519" s="41"/>
    </row>
    <row r="520">
      <c r="M520" s="41"/>
    </row>
    <row r="521">
      <c r="M521" s="41"/>
    </row>
    <row r="522">
      <c r="M522" s="41"/>
    </row>
    <row r="523">
      <c r="M523" s="41"/>
    </row>
    <row r="524">
      <c r="M524" s="41"/>
    </row>
    <row r="525">
      <c r="M525" s="41"/>
    </row>
    <row r="526">
      <c r="M526" s="41"/>
    </row>
    <row r="527">
      <c r="M527" s="41"/>
    </row>
    <row r="528">
      <c r="M528" s="41"/>
    </row>
    <row r="529">
      <c r="M529" s="41"/>
    </row>
    <row r="530">
      <c r="M530" s="41"/>
    </row>
    <row r="531">
      <c r="M531" s="41"/>
    </row>
    <row r="532">
      <c r="M532" s="41"/>
    </row>
    <row r="533">
      <c r="M533" s="41"/>
    </row>
    <row r="534">
      <c r="M534" s="41"/>
    </row>
    <row r="535">
      <c r="M535" s="41"/>
    </row>
    <row r="536">
      <c r="M536" s="41"/>
    </row>
    <row r="537">
      <c r="M537" s="41"/>
    </row>
    <row r="538">
      <c r="M538" s="41"/>
    </row>
    <row r="539">
      <c r="M539" s="41"/>
    </row>
    <row r="540">
      <c r="M540" s="41"/>
    </row>
    <row r="541">
      <c r="M541" s="41"/>
    </row>
    <row r="542">
      <c r="M542" s="41"/>
    </row>
    <row r="543">
      <c r="M543" s="41"/>
    </row>
    <row r="544">
      <c r="M544" s="41"/>
    </row>
    <row r="545">
      <c r="M545" s="41"/>
    </row>
    <row r="546">
      <c r="M546" s="41"/>
    </row>
    <row r="547">
      <c r="M547" s="41"/>
    </row>
    <row r="548">
      <c r="M548" s="41"/>
    </row>
    <row r="549">
      <c r="M549" s="41"/>
    </row>
    <row r="550">
      <c r="M550" s="41"/>
    </row>
    <row r="551">
      <c r="M551" s="41"/>
    </row>
    <row r="552">
      <c r="M552" s="41"/>
    </row>
    <row r="553">
      <c r="M553" s="41"/>
    </row>
    <row r="554">
      <c r="M554" s="41"/>
    </row>
    <row r="555">
      <c r="M555" s="41"/>
    </row>
    <row r="556">
      <c r="M556" s="41"/>
    </row>
    <row r="557">
      <c r="M557" s="41"/>
    </row>
    <row r="558">
      <c r="M558" s="41"/>
    </row>
    <row r="559">
      <c r="M559" s="41"/>
    </row>
    <row r="560">
      <c r="M560" s="41"/>
    </row>
    <row r="561">
      <c r="M561" s="41"/>
    </row>
    <row r="562">
      <c r="M562" s="41"/>
    </row>
    <row r="563">
      <c r="M563" s="41"/>
    </row>
    <row r="564">
      <c r="M564" s="41"/>
    </row>
    <row r="565">
      <c r="M565" s="41"/>
    </row>
    <row r="566">
      <c r="M566" s="41"/>
    </row>
    <row r="567">
      <c r="M567" s="41"/>
    </row>
    <row r="568">
      <c r="M568" s="41"/>
    </row>
    <row r="569">
      <c r="M569" s="41"/>
    </row>
    <row r="570">
      <c r="M570" s="41"/>
    </row>
    <row r="571">
      <c r="M571" s="41"/>
    </row>
    <row r="572">
      <c r="M572" s="41"/>
    </row>
    <row r="573">
      <c r="M573" s="41"/>
    </row>
    <row r="574">
      <c r="M574" s="41"/>
    </row>
    <row r="575">
      <c r="M575" s="41"/>
    </row>
    <row r="576">
      <c r="M576" s="41"/>
    </row>
    <row r="577">
      <c r="M577" s="41"/>
    </row>
    <row r="578">
      <c r="M578" s="41"/>
    </row>
    <row r="579">
      <c r="M579" s="41"/>
    </row>
    <row r="580">
      <c r="M580" s="41"/>
    </row>
    <row r="581">
      <c r="M581" s="41"/>
    </row>
    <row r="582">
      <c r="M582" s="41"/>
    </row>
    <row r="583">
      <c r="M583" s="41"/>
    </row>
    <row r="584">
      <c r="M584" s="41"/>
    </row>
    <row r="585">
      <c r="M585" s="41"/>
    </row>
    <row r="586">
      <c r="M586" s="41"/>
    </row>
    <row r="587">
      <c r="M587" s="41"/>
    </row>
    <row r="588">
      <c r="M588" s="41"/>
    </row>
    <row r="589">
      <c r="M589" s="41"/>
    </row>
    <row r="590">
      <c r="M590" s="41"/>
    </row>
    <row r="591">
      <c r="M591" s="41"/>
    </row>
    <row r="592">
      <c r="M592" s="41"/>
    </row>
    <row r="593">
      <c r="M593" s="41"/>
    </row>
    <row r="594">
      <c r="M594" s="41"/>
    </row>
    <row r="595">
      <c r="M595" s="41"/>
    </row>
    <row r="596">
      <c r="M596" s="41"/>
    </row>
    <row r="597">
      <c r="M597" s="41"/>
    </row>
    <row r="598">
      <c r="M598" s="41"/>
    </row>
    <row r="599">
      <c r="M599" s="41"/>
    </row>
    <row r="600">
      <c r="M600" s="41"/>
    </row>
    <row r="601">
      <c r="M601" s="41"/>
    </row>
    <row r="602">
      <c r="M602" s="41"/>
    </row>
    <row r="603">
      <c r="M603" s="41"/>
    </row>
    <row r="604">
      <c r="M604" s="41"/>
    </row>
    <row r="605">
      <c r="M605" s="41"/>
    </row>
    <row r="606">
      <c r="M606" s="41"/>
    </row>
    <row r="607">
      <c r="M607" s="41"/>
    </row>
    <row r="608">
      <c r="M608" s="41"/>
    </row>
    <row r="609">
      <c r="M609" s="41"/>
    </row>
    <row r="610">
      <c r="M610" s="41"/>
    </row>
    <row r="611">
      <c r="M611" s="41"/>
    </row>
    <row r="612">
      <c r="M612" s="41"/>
    </row>
    <row r="613">
      <c r="M613" s="41"/>
    </row>
    <row r="614">
      <c r="M614" s="41"/>
    </row>
    <row r="615">
      <c r="M615" s="41"/>
    </row>
    <row r="616">
      <c r="M616" s="41"/>
    </row>
    <row r="617">
      <c r="M617" s="41"/>
    </row>
    <row r="618">
      <c r="M618" s="41"/>
    </row>
    <row r="619">
      <c r="M619" s="41"/>
    </row>
    <row r="620">
      <c r="M620" s="41"/>
    </row>
    <row r="621">
      <c r="M621" s="41"/>
    </row>
    <row r="622">
      <c r="M622" s="41"/>
    </row>
    <row r="623">
      <c r="M623" s="41"/>
    </row>
    <row r="624">
      <c r="M624" s="41"/>
    </row>
    <row r="625">
      <c r="M625" s="41"/>
    </row>
    <row r="626">
      <c r="M626" s="41"/>
    </row>
    <row r="627">
      <c r="M627" s="41"/>
    </row>
    <row r="628">
      <c r="M628" s="41"/>
    </row>
    <row r="629">
      <c r="M629" s="41"/>
    </row>
    <row r="630">
      <c r="M630" s="41"/>
    </row>
    <row r="631">
      <c r="M631" s="41"/>
    </row>
    <row r="632">
      <c r="M632" s="41"/>
    </row>
    <row r="633">
      <c r="M633" s="41"/>
    </row>
    <row r="634">
      <c r="M634" s="41"/>
    </row>
    <row r="635">
      <c r="M635" s="41"/>
    </row>
    <row r="636">
      <c r="M636" s="41"/>
    </row>
    <row r="637">
      <c r="M637" s="41"/>
    </row>
    <row r="638">
      <c r="M638" s="41"/>
    </row>
    <row r="639">
      <c r="M639" s="41"/>
    </row>
    <row r="640">
      <c r="M640" s="41"/>
    </row>
    <row r="641">
      <c r="M641" s="41"/>
    </row>
    <row r="642">
      <c r="M642" s="41"/>
    </row>
    <row r="643">
      <c r="M643" s="41"/>
    </row>
    <row r="644">
      <c r="M644" s="41"/>
    </row>
    <row r="645">
      <c r="M645" s="41"/>
    </row>
    <row r="646">
      <c r="M646" s="41"/>
    </row>
    <row r="647">
      <c r="M647" s="41"/>
    </row>
    <row r="648">
      <c r="M648" s="41"/>
    </row>
    <row r="649">
      <c r="M649" s="41"/>
    </row>
    <row r="650">
      <c r="M650" s="41"/>
    </row>
    <row r="651">
      <c r="M651" s="41"/>
    </row>
    <row r="652">
      <c r="M652" s="41"/>
    </row>
    <row r="653">
      <c r="M653" s="41"/>
    </row>
    <row r="654">
      <c r="M654" s="41"/>
    </row>
    <row r="655">
      <c r="M655" s="41"/>
    </row>
    <row r="656">
      <c r="M656" s="41"/>
    </row>
    <row r="657">
      <c r="M657" s="41"/>
    </row>
    <row r="658">
      <c r="M658" s="41"/>
    </row>
    <row r="659">
      <c r="M659" s="41"/>
    </row>
    <row r="660">
      <c r="M660" s="41"/>
    </row>
    <row r="661">
      <c r="M661" s="41"/>
    </row>
    <row r="662">
      <c r="M662" s="41"/>
    </row>
    <row r="663">
      <c r="M663" s="41"/>
    </row>
    <row r="664">
      <c r="M664" s="41"/>
    </row>
    <row r="665">
      <c r="M665" s="41"/>
    </row>
    <row r="666">
      <c r="M666" s="41"/>
    </row>
    <row r="667">
      <c r="M667" s="41"/>
    </row>
    <row r="668">
      <c r="M668" s="41"/>
    </row>
    <row r="669">
      <c r="M669" s="41"/>
    </row>
    <row r="670">
      <c r="M670" s="41"/>
    </row>
    <row r="671">
      <c r="M671" s="41"/>
    </row>
    <row r="672">
      <c r="M672" s="41"/>
    </row>
    <row r="673">
      <c r="M673" s="41"/>
    </row>
    <row r="674">
      <c r="M674" s="41"/>
    </row>
    <row r="675">
      <c r="M675" s="41"/>
    </row>
    <row r="676">
      <c r="M676" s="41"/>
    </row>
    <row r="677">
      <c r="M677" s="41"/>
    </row>
    <row r="678">
      <c r="M678" s="41"/>
    </row>
    <row r="679">
      <c r="M679" s="41"/>
    </row>
    <row r="680">
      <c r="M680" s="41"/>
    </row>
    <row r="681">
      <c r="M681" s="41"/>
    </row>
    <row r="682">
      <c r="M682" s="41"/>
    </row>
    <row r="683">
      <c r="M683" s="41"/>
    </row>
    <row r="684">
      <c r="M684" s="41"/>
    </row>
    <row r="685">
      <c r="M685" s="41"/>
    </row>
    <row r="686">
      <c r="M686" s="41"/>
    </row>
    <row r="687">
      <c r="M687" s="41"/>
    </row>
    <row r="688">
      <c r="M688" s="41"/>
    </row>
    <row r="689">
      <c r="M689" s="41"/>
    </row>
    <row r="690">
      <c r="M690" s="41"/>
    </row>
    <row r="691">
      <c r="M691" s="41"/>
    </row>
    <row r="692">
      <c r="M692" s="41"/>
    </row>
    <row r="693">
      <c r="M693" s="41"/>
    </row>
    <row r="694">
      <c r="M694" s="41"/>
    </row>
    <row r="695">
      <c r="M695" s="41"/>
    </row>
    <row r="696">
      <c r="M696" s="41"/>
    </row>
    <row r="697">
      <c r="M697" s="41"/>
    </row>
    <row r="698">
      <c r="M698" s="41"/>
    </row>
    <row r="699">
      <c r="M699" s="41"/>
    </row>
    <row r="700">
      <c r="M700" s="41"/>
    </row>
    <row r="701">
      <c r="M701" s="41"/>
    </row>
    <row r="702">
      <c r="M702" s="41"/>
    </row>
    <row r="703">
      <c r="M703" s="41"/>
    </row>
    <row r="704">
      <c r="M704" s="41"/>
    </row>
    <row r="705">
      <c r="M705" s="41"/>
    </row>
    <row r="706">
      <c r="M706" s="41"/>
    </row>
    <row r="707">
      <c r="M707" s="41"/>
    </row>
    <row r="708">
      <c r="M708" s="41"/>
    </row>
    <row r="709">
      <c r="M709" s="41"/>
    </row>
    <row r="710">
      <c r="M710" s="41"/>
    </row>
    <row r="711">
      <c r="M711" s="41"/>
    </row>
    <row r="712">
      <c r="M712" s="41"/>
    </row>
    <row r="713">
      <c r="M713" s="41"/>
    </row>
    <row r="714">
      <c r="M714" s="41"/>
    </row>
    <row r="715">
      <c r="M715" s="41"/>
    </row>
    <row r="716">
      <c r="M716" s="41"/>
    </row>
    <row r="717">
      <c r="M717" s="41"/>
    </row>
    <row r="718">
      <c r="M718" s="41"/>
    </row>
    <row r="719">
      <c r="M719" s="41"/>
    </row>
    <row r="720">
      <c r="M720" s="41"/>
    </row>
    <row r="721">
      <c r="M721" s="41"/>
    </row>
    <row r="722">
      <c r="M722" s="41"/>
    </row>
    <row r="723">
      <c r="M723" s="41"/>
    </row>
    <row r="724">
      <c r="M724" s="41"/>
    </row>
    <row r="725">
      <c r="M725" s="41"/>
    </row>
    <row r="726">
      <c r="M726" s="41"/>
    </row>
    <row r="727">
      <c r="M727" s="41"/>
    </row>
    <row r="728">
      <c r="M728" s="41"/>
    </row>
    <row r="729">
      <c r="M729" s="41"/>
    </row>
    <row r="730">
      <c r="M730" s="41"/>
    </row>
    <row r="731">
      <c r="M731" s="41"/>
    </row>
    <row r="732">
      <c r="M732" s="41"/>
    </row>
    <row r="733">
      <c r="M733" s="41"/>
    </row>
    <row r="734">
      <c r="M734" s="41"/>
    </row>
    <row r="735">
      <c r="M735" s="41"/>
    </row>
    <row r="736">
      <c r="M736" s="41"/>
    </row>
    <row r="737">
      <c r="M737" s="41"/>
    </row>
    <row r="738">
      <c r="M738" s="41"/>
    </row>
    <row r="739">
      <c r="M739" s="41"/>
    </row>
    <row r="740">
      <c r="M740" s="41"/>
    </row>
    <row r="741">
      <c r="M741" s="41"/>
    </row>
    <row r="742">
      <c r="M742" s="41"/>
    </row>
    <row r="743">
      <c r="M743" s="41"/>
    </row>
    <row r="744">
      <c r="M744" s="41"/>
    </row>
    <row r="745">
      <c r="M745" s="41"/>
    </row>
    <row r="746">
      <c r="M746" s="41"/>
    </row>
    <row r="747">
      <c r="M747" s="41"/>
    </row>
    <row r="748">
      <c r="M748" s="41"/>
    </row>
    <row r="749">
      <c r="M749" s="41"/>
    </row>
    <row r="750">
      <c r="M750" s="41"/>
    </row>
    <row r="751">
      <c r="M751" s="41"/>
    </row>
    <row r="752">
      <c r="M752" s="41"/>
    </row>
    <row r="753">
      <c r="M753" s="41"/>
    </row>
    <row r="754">
      <c r="M754" s="41"/>
    </row>
    <row r="755">
      <c r="M755" s="41"/>
    </row>
    <row r="756">
      <c r="M756" s="41"/>
    </row>
    <row r="757">
      <c r="M757" s="41"/>
    </row>
    <row r="758">
      <c r="M758" s="41"/>
    </row>
    <row r="759">
      <c r="M759" s="41"/>
    </row>
    <row r="760">
      <c r="M760" s="41"/>
    </row>
    <row r="761">
      <c r="M761" s="41"/>
    </row>
    <row r="762">
      <c r="M762" s="41"/>
    </row>
    <row r="763">
      <c r="M763" s="41"/>
    </row>
    <row r="764">
      <c r="M764" s="41"/>
    </row>
    <row r="765">
      <c r="M765" s="41"/>
    </row>
    <row r="766">
      <c r="M766" s="41"/>
    </row>
    <row r="767">
      <c r="M767" s="41"/>
    </row>
    <row r="768">
      <c r="M768" s="41"/>
    </row>
    <row r="769">
      <c r="M769" s="41"/>
    </row>
    <row r="770">
      <c r="M770" s="41"/>
    </row>
    <row r="771">
      <c r="M771" s="41"/>
    </row>
    <row r="772">
      <c r="M772" s="41"/>
    </row>
    <row r="773">
      <c r="M773" s="41"/>
    </row>
    <row r="774">
      <c r="M774" s="41"/>
    </row>
    <row r="775">
      <c r="M775" s="41"/>
    </row>
    <row r="776">
      <c r="M776" s="41"/>
    </row>
    <row r="777">
      <c r="M777" s="41"/>
    </row>
    <row r="778">
      <c r="M778" s="41"/>
    </row>
    <row r="779">
      <c r="M779" s="41"/>
    </row>
    <row r="780">
      <c r="M780" s="41"/>
    </row>
    <row r="781">
      <c r="M781" s="41"/>
    </row>
    <row r="782">
      <c r="M782" s="41"/>
    </row>
    <row r="783">
      <c r="M783" s="41"/>
    </row>
    <row r="784">
      <c r="M784" s="41"/>
    </row>
    <row r="785">
      <c r="M785" s="41"/>
    </row>
    <row r="786">
      <c r="M786" s="41"/>
    </row>
    <row r="787">
      <c r="M787" s="41"/>
    </row>
    <row r="788">
      <c r="M788" s="41"/>
    </row>
    <row r="789">
      <c r="M789" s="41"/>
    </row>
    <row r="790">
      <c r="M790" s="41"/>
    </row>
    <row r="791">
      <c r="M791" s="41"/>
    </row>
    <row r="792">
      <c r="M792" s="41"/>
    </row>
    <row r="793">
      <c r="M793" s="41"/>
    </row>
    <row r="794">
      <c r="M794" s="41"/>
    </row>
    <row r="795">
      <c r="M795" s="41"/>
    </row>
    <row r="796">
      <c r="M796" s="41"/>
    </row>
    <row r="797">
      <c r="M797" s="41"/>
    </row>
    <row r="798">
      <c r="M798" s="41"/>
    </row>
    <row r="799">
      <c r="M799" s="41"/>
    </row>
    <row r="800">
      <c r="M800" s="41"/>
    </row>
    <row r="801">
      <c r="M801" s="41"/>
    </row>
    <row r="802">
      <c r="M802" s="41"/>
    </row>
    <row r="803">
      <c r="M803" s="41"/>
    </row>
    <row r="804">
      <c r="M804" s="41"/>
    </row>
    <row r="805">
      <c r="M805" s="41"/>
    </row>
    <row r="806">
      <c r="M806" s="41"/>
    </row>
    <row r="807">
      <c r="M807" s="41"/>
    </row>
    <row r="808">
      <c r="M808" s="41"/>
    </row>
    <row r="809">
      <c r="M809" s="41"/>
    </row>
    <row r="810">
      <c r="M810" s="41"/>
    </row>
    <row r="811">
      <c r="M811" s="41"/>
    </row>
    <row r="812">
      <c r="M812" s="41"/>
    </row>
    <row r="813">
      <c r="M813" s="41"/>
    </row>
    <row r="814">
      <c r="M814" s="41"/>
    </row>
    <row r="815">
      <c r="M815" s="41"/>
    </row>
    <row r="816">
      <c r="M816" s="41"/>
    </row>
    <row r="817">
      <c r="M817" s="41"/>
    </row>
    <row r="818">
      <c r="M818" s="41"/>
    </row>
    <row r="819">
      <c r="M819" s="41"/>
    </row>
    <row r="820">
      <c r="M820" s="41"/>
    </row>
    <row r="821">
      <c r="M821" s="41"/>
    </row>
    <row r="822">
      <c r="M822" s="41"/>
    </row>
    <row r="823">
      <c r="M823" s="41"/>
    </row>
    <row r="824">
      <c r="M824" s="41"/>
    </row>
    <row r="825">
      <c r="M825" s="41"/>
    </row>
    <row r="826">
      <c r="M826" s="41"/>
    </row>
    <row r="827">
      <c r="M827" s="41"/>
    </row>
    <row r="828">
      <c r="M828" s="41"/>
    </row>
    <row r="829">
      <c r="M829" s="41"/>
    </row>
    <row r="830">
      <c r="M830" s="41"/>
    </row>
    <row r="831">
      <c r="M831" s="41"/>
    </row>
    <row r="832">
      <c r="M832" s="41"/>
    </row>
    <row r="833">
      <c r="M833" s="41"/>
    </row>
    <row r="834">
      <c r="M834" s="41"/>
    </row>
    <row r="835">
      <c r="M835" s="41"/>
    </row>
    <row r="836">
      <c r="M836" s="41"/>
    </row>
    <row r="837">
      <c r="M837" s="41"/>
    </row>
    <row r="838">
      <c r="M838" s="41"/>
    </row>
    <row r="839">
      <c r="M839" s="41"/>
    </row>
    <row r="840">
      <c r="M840" s="41"/>
    </row>
    <row r="841">
      <c r="M841" s="41"/>
    </row>
    <row r="842">
      <c r="M842" s="41"/>
    </row>
    <row r="843">
      <c r="M843" s="41"/>
    </row>
    <row r="844">
      <c r="M844" s="41"/>
    </row>
    <row r="845">
      <c r="M845" s="41"/>
    </row>
    <row r="846">
      <c r="M846" s="41"/>
    </row>
    <row r="847">
      <c r="M847" s="41"/>
    </row>
    <row r="848">
      <c r="M848" s="41"/>
    </row>
    <row r="849">
      <c r="M849" s="41"/>
    </row>
    <row r="850">
      <c r="M850" s="41"/>
    </row>
    <row r="851">
      <c r="M851" s="41"/>
    </row>
    <row r="852">
      <c r="M852" s="41"/>
    </row>
    <row r="853">
      <c r="M853" s="41"/>
    </row>
    <row r="854">
      <c r="M854" s="41"/>
    </row>
    <row r="855">
      <c r="M855" s="41"/>
    </row>
    <row r="856">
      <c r="M856" s="41"/>
    </row>
    <row r="857">
      <c r="M857" s="41"/>
    </row>
    <row r="858">
      <c r="M858" s="41"/>
    </row>
    <row r="859">
      <c r="M859" s="41"/>
    </row>
    <row r="860">
      <c r="M860" s="41"/>
    </row>
    <row r="861">
      <c r="M861" s="41"/>
    </row>
    <row r="862">
      <c r="M862" s="41"/>
    </row>
    <row r="863">
      <c r="M863" s="41"/>
    </row>
    <row r="864">
      <c r="M864" s="41"/>
    </row>
    <row r="865">
      <c r="M865" s="41"/>
    </row>
    <row r="866">
      <c r="M866" s="41"/>
    </row>
    <row r="867">
      <c r="M867" s="41"/>
    </row>
    <row r="868">
      <c r="M868" s="41"/>
    </row>
    <row r="869">
      <c r="M869" s="41"/>
    </row>
    <row r="870">
      <c r="M870" s="41"/>
    </row>
    <row r="871">
      <c r="M871" s="41"/>
    </row>
    <row r="872">
      <c r="M872" s="41"/>
    </row>
    <row r="873">
      <c r="M873" s="41"/>
    </row>
    <row r="874">
      <c r="M874" s="41"/>
    </row>
    <row r="875">
      <c r="M875" s="41"/>
    </row>
    <row r="876">
      <c r="M876" s="41"/>
    </row>
    <row r="877">
      <c r="M877" s="41"/>
    </row>
    <row r="878">
      <c r="M878" s="41"/>
    </row>
    <row r="879">
      <c r="M879" s="41"/>
    </row>
    <row r="880">
      <c r="M880" s="41"/>
    </row>
    <row r="881">
      <c r="M881" s="41"/>
    </row>
    <row r="882">
      <c r="M882" s="41"/>
    </row>
    <row r="883">
      <c r="M883" s="41"/>
    </row>
    <row r="884">
      <c r="M884" s="41"/>
    </row>
    <row r="885">
      <c r="M885" s="41"/>
    </row>
    <row r="886">
      <c r="M886" s="41"/>
    </row>
    <row r="887">
      <c r="M887" s="41"/>
    </row>
    <row r="888">
      <c r="M888" s="41"/>
    </row>
    <row r="889">
      <c r="M889" s="41"/>
    </row>
    <row r="890">
      <c r="M890" s="41"/>
    </row>
    <row r="891">
      <c r="M891" s="41"/>
    </row>
    <row r="892">
      <c r="M892" s="41"/>
    </row>
    <row r="893">
      <c r="M893" s="41"/>
    </row>
    <row r="894">
      <c r="M894" s="41"/>
    </row>
    <row r="895">
      <c r="M895" s="41"/>
    </row>
    <row r="896">
      <c r="M896" s="41"/>
    </row>
    <row r="897">
      <c r="M897" s="41"/>
    </row>
    <row r="898">
      <c r="M898" s="41"/>
    </row>
    <row r="899">
      <c r="M899" s="41"/>
    </row>
    <row r="900">
      <c r="M900" s="41"/>
    </row>
    <row r="901">
      <c r="M901" s="41"/>
    </row>
    <row r="902">
      <c r="M902" s="41"/>
    </row>
    <row r="903">
      <c r="M903" s="41"/>
    </row>
    <row r="904">
      <c r="M904" s="41"/>
    </row>
    <row r="905">
      <c r="M905" s="41"/>
    </row>
    <row r="906">
      <c r="M906" s="41"/>
    </row>
    <row r="907">
      <c r="M907" s="41"/>
    </row>
    <row r="908">
      <c r="M908" s="41"/>
    </row>
    <row r="909">
      <c r="M909" s="41"/>
    </row>
    <row r="910">
      <c r="M910" s="41"/>
    </row>
    <row r="911">
      <c r="M911" s="41"/>
    </row>
    <row r="912">
      <c r="M912" s="41"/>
    </row>
    <row r="913">
      <c r="M913" s="41"/>
    </row>
    <row r="914">
      <c r="M914" s="41"/>
    </row>
    <row r="915">
      <c r="M915" s="41"/>
    </row>
    <row r="916">
      <c r="M916" s="41"/>
    </row>
    <row r="917">
      <c r="M917" s="41"/>
    </row>
    <row r="918">
      <c r="M918" s="41"/>
    </row>
    <row r="919">
      <c r="M919" s="41"/>
    </row>
    <row r="920">
      <c r="M920" s="41"/>
    </row>
    <row r="921">
      <c r="M921" s="41"/>
    </row>
    <row r="922">
      <c r="M922" s="41"/>
    </row>
    <row r="923">
      <c r="M923" s="41"/>
    </row>
    <row r="924">
      <c r="M924" s="41"/>
    </row>
    <row r="925">
      <c r="M925" s="41"/>
    </row>
    <row r="926">
      <c r="M926" s="41"/>
    </row>
    <row r="927">
      <c r="M927" s="41"/>
    </row>
    <row r="928">
      <c r="M928" s="41"/>
    </row>
    <row r="929">
      <c r="M929" s="41"/>
    </row>
    <row r="930">
      <c r="M930" s="41"/>
    </row>
    <row r="931">
      <c r="M931" s="41"/>
    </row>
    <row r="932">
      <c r="M932" s="41"/>
    </row>
    <row r="933">
      <c r="M933" s="41"/>
    </row>
    <row r="934">
      <c r="M934" s="41"/>
    </row>
    <row r="935">
      <c r="M935" s="41"/>
    </row>
    <row r="936">
      <c r="M936" s="41"/>
    </row>
    <row r="937">
      <c r="M937" s="41"/>
    </row>
    <row r="938">
      <c r="M938" s="41"/>
    </row>
    <row r="939">
      <c r="M939" s="41"/>
    </row>
    <row r="940">
      <c r="M940" s="41"/>
    </row>
    <row r="941">
      <c r="M941" s="41"/>
    </row>
    <row r="942">
      <c r="M942" s="41"/>
    </row>
    <row r="943">
      <c r="M943" s="41"/>
    </row>
    <row r="944">
      <c r="M944" s="41"/>
    </row>
    <row r="945">
      <c r="M945" s="41"/>
    </row>
    <row r="946">
      <c r="M946" s="41"/>
    </row>
    <row r="947">
      <c r="M947" s="41"/>
    </row>
    <row r="948">
      <c r="M948" s="41"/>
    </row>
    <row r="949">
      <c r="M949" s="41"/>
    </row>
    <row r="950">
      <c r="M950" s="41"/>
    </row>
    <row r="951">
      <c r="M951" s="41"/>
    </row>
    <row r="952">
      <c r="M952" s="41"/>
    </row>
    <row r="953">
      <c r="M953" s="41"/>
    </row>
    <row r="954">
      <c r="M954" s="41"/>
    </row>
    <row r="955">
      <c r="M955" s="41"/>
    </row>
    <row r="956">
      <c r="M956" s="41"/>
    </row>
    <row r="957">
      <c r="M957" s="41"/>
    </row>
    <row r="958">
      <c r="M958" s="41"/>
    </row>
    <row r="959">
      <c r="M959" s="41"/>
    </row>
    <row r="960">
      <c r="M960" s="41"/>
    </row>
    <row r="961">
      <c r="M961" s="41"/>
    </row>
    <row r="962">
      <c r="M962" s="41"/>
    </row>
    <row r="963">
      <c r="M963" s="41"/>
    </row>
    <row r="964">
      <c r="M964" s="41"/>
    </row>
    <row r="965">
      <c r="M965" s="41"/>
    </row>
    <row r="966">
      <c r="M966" s="41"/>
    </row>
    <row r="967">
      <c r="M967" s="41"/>
    </row>
    <row r="968">
      <c r="M968" s="41"/>
    </row>
    <row r="969">
      <c r="M969" s="41"/>
    </row>
    <row r="970">
      <c r="M970" s="41"/>
    </row>
    <row r="971">
      <c r="M971" s="41"/>
    </row>
    <row r="972">
      <c r="M972" s="41"/>
    </row>
    <row r="973">
      <c r="M973" s="41"/>
    </row>
    <row r="974">
      <c r="M974" s="41"/>
    </row>
    <row r="975">
      <c r="M975" s="41"/>
    </row>
    <row r="976">
      <c r="M976" s="41"/>
    </row>
    <row r="977">
      <c r="M977" s="41"/>
    </row>
    <row r="978">
      <c r="M978" s="41"/>
    </row>
    <row r="979">
      <c r="M979" s="41"/>
    </row>
    <row r="980">
      <c r="M980" s="41"/>
    </row>
    <row r="981">
      <c r="M981" s="41"/>
    </row>
    <row r="982">
      <c r="M982" s="41"/>
    </row>
    <row r="983">
      <c r="M983" s="41"/>
    </row>
    <row r="984">
      <c r="M984" s="41"/>
    </row>
    <row r="985">
      <c r="M985" s="41"/>
    </row>
    <row r="986">
      <c r="M986" s="41"/>
    </row>
    <row r="987">
      <c r="M987" s="41"/>
    </row>
    <row r="988">
      <c r="M988" s="41"/>
    </row>
    <row r="989">
      <c r="M989" s="41"/>
    </row>
    <row r="990">
      <c r="M990" s="41"/>
    </row>
    <row r="991">
      <c r="M991" s="41"/>
    </row>
  </sheetData>
  <mergeCells count="3">
    <mergeCell ref="C1:M1"/>
    <mergeCell ref="C2:M2"/>
    <mergeCell ref="C3:M3"/>
  </mergeCells>
  <dataValidations>
    <dataValidation type="list" allowBlank="1" sqref="O2">
      <formula1>'Пр.взв'!$N$6:$N$15</formula1>
    </dataValidation>
  </dataValidations>
  <hyperlinks>
    <hyperlink r:id="rId1" location="gid=847246518" ref="N1"/>
  </hyperlinks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4.43" defaultRowHeight="15.75"/>
  <cols>
    <col customWidth="1" min="1" max="1" width="1.29"/>
    <col customWidth="1" min="2" max="2" width="3.71"/>
    <col customWidth="1" min="3" max="3" width="22.43"/>
    <col customWidth="1" min="4" max="4" width="6.0"/>
    <col customWidth="1" min="5" max="5" width="17.29"/>
    <col customWidth="1" min="6" max="26" width="2.86"/>
    <col customWidth="1" min="27" max="27" width="2.29"/>
    <col customWidth="1" min="28" max="28" width="2.57"/>
    <col customWidth="1" min="29" max="29" width="2.86"/>
    <col customWidth="1" min="30" max="30" width="4.0"/>
    <col customWidth="1" min="31" max="31" width="3.86"/>
    <col customWidth="1" min="32" max="32" width="3.43"/>
    <col customWidth="1" hidden="1" min="33" max="33" width="3.43"/>
    <col customWidth="1" hidden="1" min="34" max="50" width="2.86"/>
    <col customWidth="1" hidden="1" min="51" max="54" width="3.43"/>
    <col customWidth="1" hidden="1" min="55" max="55" width="3.71"/>
    <col customWidth="1" hidden="1" min="56" max="56" width="4.0"/>
    <col customWidth="1" hidden="1" min="57" max="57" width="3.43"/>
    <col customWidth="1" hidden="1" min="58" max="59" width="3.86"/>
    <col customWidth="1" hidden="1" min="60" max="60" width="3.71"/>
    <col hidden="1" min="61" max="64" width="14.43"/>
    <col customWidth="1" hidden="1" min="65" max="98" width="3.57"/>
    <col customWidth="1" hidden="1" min="99" max="112" width="3.71"/>
  </cols>
  <sheetData>
    <row r="1" ht="24.0" customHeight="1">
      <c r="A1" s="42"/>
      <c r="B1" s="43" t="s">
        <v>337</v>
      </c>
      <c r="X1" s="44" t="s">
        <v>338</v>
      </c>
      <c r="AE1" s="45"/>
      <c r="AF1" s="46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8"/>
      <c r="AZ1" s="49"/>
      <c r="BA1" s="49"/>
      <c r="BB1" s="49"/>
      <c r="BC1" s="49"/>
      <c r="BD1" s="49"/>
      <c r="BE1" s="49"/>
      <c r="BF1" s="49"/>
      <c r="BG1" s="49"/>
      <c r="BH1" s="49"/>
      <c r="BI1" s="49"/>
      <c r="BJ1" s="49"/>
      <c r="BK1" s="49"/>
      <c r="BL1" s="49"/>
      <c r="BM1" s="50"/>
      <c r="BN1" s="49"/>
      <c r="BO1" s="49"/>
      <c r="BP1" s="49"/>
      <c r="BQ1" s="49"/>
      <c r="BR1" s="50"/>
      <c r="BS1" s="49"/>
      <c r="BT1" s="49"/>
      <c r="BU1" s="49"/>
      <c r="BV1" s="49"/>
      <c r="BW1" s="49"/>
      <c r="BX1" s="49"/>
      <c r="BY1" s="49"/>
      <c r="BZ1" s="49"/>
      <c r="CA1" s="49"/>
      <c r="CB1" s="49"/>
      <c r="CC1" s="49"/>
      <c r="CD1" s="49"/>
      <c r="CE1" s="49"/>
      <c r="CF1" s="49"/>
      <c r="CG1" s="49"/>
      <c r="CH1" s="49"/>
      <c r="CI1" s="51"/>
      <c r="CJ1" s="49"/>
      <c r="CK1" s="52"/>
      <c r="CL1" s="53"/>
      <c r="CM1" s="52"/>
      <c r="CN1" s="52"/>
      <c r="CO1" s="52"/>
      <c r="CP1" s="52"/>
      <c r="CQ1" s="52"/>
      <c r="CR1" s="52"/>
      <c r="CS1" s="53"/>
      <c r="CT1" s="52"/>
      <c r="CU1" s="52"/>
      <c r="CV1" s="53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</row>
    <row r="2" ht="37.5" customHeight="1">
      <c r="A2" s="54"/>
      <c r="B2" s="55" t="s">
        <v>339</v>
      </c>
      <c r="C2" s="56"/>
      <c r="D2" s="57"/>
      <c r="E2" s="58" t="str">
        <f>'Пр.взв'!C2</f>
        <v>Первенство России среди юношей и девушек 16-18 лет (отбор на первенство мира и Европы) ЕКП № 1803</v>
      </c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9"/>
      <c r="AE2" s="45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60">
        <f>'Пр.взв'!O3</f>
        <v>58</v>
      </c>
      <c r="AZ2" s="61"/>
      <c r="BA2" s="62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50"/>
      <c r="BN2" s="49"/>
      <c r="BO2" s="49"/>
      <c r="BP2" s="49"/>
      <c r="BQ2" s="49"/>
      <c r="BR2" s="50"/>
      <c r="BS2" s="49"/>
      <c r="BT2" s="49"/>
      <c r="BU2" s="49"/>
      <c r="BV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63"/>
      <c r="CK2" s="52"/>
      <c r="CL2" s="53"/>
      <c r="CM2" s="52"/>
      <c r="CN2" s="52"/>
      <c r="CO2" s="52"/>
      <c r="CP2" s="52"/>
      <c r="CQ2" s="52"/>
      <c r="CR2" s="52"/>
      <c r="CS2" s="53"/>
      <c r="CT2" s="52"/>
      <c r="CU2" s="52"/>
      <c r="CV2" s="53"/>
      <c r="CX2" s="53"/>
      <c r="CY2" s="53"/>
      <c r="CZ2" s="53"/>
      <c r="DA2" s="53"/>
      <c r="DB2" s="53"/>
      <c r="DC2" s="53"/>
      <c r="DD2" s="53"/>
      <c r="DE2" s="53"/>
      <c r="DF2" s="53"/>
      <c r="DG2" s="53"/>
      <c r="DH2" s="53"/>
    </row>
    <row r="3">
      <c r="A3" s="64"/>
      <c r="B3" s="65" t="str">
        <f>'Пр.взв'!C3</f>
        <v>30.01 - 04.02.2022 г.                                                                                        г.Кстово</v>
      </c>
      <c r="P3" s="66"/>
      <c r="Q3" s="67" t="str">
        <f>AY3&amp;" "&amp;AZ3</f>
        <v>58 участников</v>
      </c>
      <c r="Y3" s="66"/>
      <c r="Z3" s="68" t="str">
        <f>'Пр.взв'!G4</f>
        <v>В.к.  71  кг</v>
      </c>
      <c r="AD3" s="66"/>
      <c r="AE3" s="69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1">
        <f>AY2</f>
        <v>58</v>
      </c>
      <c r="AZ3" s="72" t="s">
        <v>5</v>
      </c>
      <c r="BC3" s="49">
        <f>AY2/2+0.5</f>
        <v>29.5</v>
      </c>
      <c r="BE3" s="49"/>
      <c r="BF3" s="49"/>
      <c r="BG3" s="49"/>
      <c r="BH3" s="48"/>
      <c r="BI3" s="49"/>
      <c r="BJ3" s="49"/>
      <c r="BK3" s="73"/>
      <c r="BL3" s="49"/>
      <c r="BM3" s="50"/>
      <c r="BN3" s="49"/>
      <c r="BO3" s="49"/>
      <c r="BP3" s="49"/>
      <c r="BQ3" s="49"/>
      <c r="BR3" s="50"/>
      <c r="BS3" s="49"/>
      <c r="BT3" s="49"/>
      <c r="BU3" s="49"/>
      <c r="BV3" s="49"/>
      <c r="BW3" s="49"/>
      <c r="BX3" s="49"/>
      <c r="BY3" s="49"/>
      <c r="BZ3" s="49"/>
      <c r="CA3" s="49"/>
      <c r="CB3" s="49"/>
      <c r="CC3" s="49"/>
      <c r="CD3" s="49"/>
      <c r="CE3" s="49"/>
      <c r="CF3" s="49"/>
      <c r="CG3" s="49"/>
      <c r="CH3" s="49"/>
      <c r="CI3" s="74"/>
      <c r="CJ3" s="49"/>
      <c r="CK3" s="52"/>
      <c r="CL3" s="75"/>
      <c r="CM3" s="52"/>
      <c r="CN3" s="52"/>
      <c r="CO3" s="52"/>
      <c r="CP3" s="52"/>
      <c r="CQ3" s="52"/>
      <c r="CR3" s="52"/>
      <c r="CS3" s="75"/>
      <c r="CT3" s="52"/>
      <c r="CU3" s="52"/>
      <c r="CV3" s="75"/>
      <c r="CW3" s="52"/>
      <c r="CX3" s="52"/>
      <c r="CY3" s="52"/>
      <c r="CZ3" s="52"/>
      <c r="DA3" s="52"/>
      <c r="DB3" s="52"/>
      <c r="DC3" s="52"/>
      <c r="DD3" s="52"/>
      <c r="DE3" s="52"/>
      <c r="DF3" s="52"/>
      <c r="DG3" s="52"/>
      <c r="DH3" s="52"/>
    </row>
    <row r="4">
      <c r="A4" s="76"/>
      <c r="B4" s="77" t="s">
        <v>9</v>
      </c>
      <c r="C4" s="78" t="s">
        <v>10</v>
      </c>
      <c r="D4" s="79" t="s">
        <v>12</v>
      </c>
      <c r="E4" s="80" t="s">
        <v>14</v>
      </c>
      <c r="F4" s="81" t="s">
        <v>340</v>
      </c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3"/>
      <c r="AB4" s="84" t="s">
        <v>341</v>
      </c>
      <c r="AC4" s="85" t="s">
        <v>342</v>
      </c>
      <c r="AD4" s="86" t="s">
        <v>343</v>
      </c>
      <c r="AE4" s="87"/>
      <c r="AF4" s="88" t="s">
        <v>343</v>
      </c>
      <c r="AG4" s="89"/>
      <c r="AH4" s="90">
        <v>1.0</v>
      </c>
      <c r="AI4" s="90">
        <v>2.0</v>
      </c>
      <c r="AJ4" s="90">
        <v>3.0</v>
      </c>
      <c r="AK4" s="90">
        <v>4.0</v>
      </c>
      <c r="AL4" s="90">
        <v>5.0</v>
      </c>
      <c r="AM4" s="90">
        <v>6.0</v>
      </c>
      <c r="AN4" s="90">
        <v>7.0</v>
      </c>
      <c r="AO4" s="90">
        <v>8.0</v>
      </c>
      <c r="AP4" s="91" t="s">
        <v>344</v>
      </c>
      <c r="AQ4" s="90" t="s">
        <v>345</v>
      </c>
      <c r="AR4" s="92" t="s">
        <v>346</v>
      </c>
      <c r="AS4" s="92" t="s">
        <v>343</v>
      </c>
      <c r="AT4" s="70"/>
      <c r="AU4" s="70"/>
      <c r="AV4" s="70"/>
      <c r="AW4" s="70"/>
      <c r="AX4" s="70"/>
      <c r="AY4" s="93">
        <v>5.0</v>
      </c>
      <c r="AZ4" s="63" t="s">
        <v>347</v>
      </c>
      <c r="BB4" s="49"/>
      <c r="BC4" s="94" t="s">
        <v>348</v>
      </c>
      <c r="BE4" s="95">
        <f>SUM(AY4*AY2,AY8,BA8,BC8,BE8)</f>
        <v>471.25</v>
      </c>
      <c r="BG4" s="96" t="s">
        <v>347</v>
      </c>
      <c r="BI4" s="63" t="s">
        <v>347</v>
      </c>
      <c r="BL4" s="49"/>
      <c r="BM4" s="97"/>
      <c r="BN4" s="98"/>
      <c r="BO4" s="98"/>
      <c r="BP4" s="98"/>
      <c r="BQ4" s="99"/>
      <c r="BR4" s="100" t="s">
        <v>349</v>
      </c>
      <c r="BS4" s="49"/>
      <c r="BT4" s="49"/>
      <c r="BU4" s="49"/>
      <c r="BV4" s="49"/>
      <c r="BW4" s="101" t="s">
        <v>350</v>
      </c>
      <c r="BX4" s="102"/>
      <c r="BY4" s="102"/>
      <c r="BZ4" s="102"/>
      <c r="CA4" s="102"/>
      <c r="CB4" s="102"/>
      <c r="CC4" s="102"/>
      <c r="CD4" s="103"/>
      <c r="CE4" s="104" t="s">
        <v>351</v>
      </c>
      <c r="CF4" s="104"/>
      <c r="CG4" s="104"/>
      <c r="CH4" s="104"/>
      <c r="CI4" s="74"/>
      <c r="CJ4" s="104" t="s">
        <v>352</v>
      </c>
      <c r="CK4" s="53"/>
      <c r="CL4" s="75"/>
      <c r="CM4" s="52"/>
      <c r="CN4" s="52"/>
      <c r="CO4" s="53" t="s">
        <v>353</v>
      </c>
      <c r="CP4" s="53"/>
      <c r="CQ4" s="53"/>
      <c r="CR4" s="53"/>
      <c r="CS4" s="75"/>
      <c r="CT4" s="53" t="s">
        <v>354</v>
      </c>
      <c r="CU4" s="53"/>
      <c r="CV4" s="75"/>
      <c r="CW4" s="52"/>
      <c r="CX4" s="52"/>
      <c r="CY4" s="53" t="s">
        <v>355</v>
      </c>
      <c r="CZ4" s="52"/>
      <c r="DA4" s="52"/>
      <c r="DB4" s="52"/>
      <c r="DC4" s="52"/>
      <c r="DD4" s="52"/>
      <c r="DE4" s="52"/>
      <c r="DF4" s="52"/>
      <c r="DG4" s="52"/>
      <c r="DH4" s="52"/>
    </row>
    <row r="5">
      <c r="B5" s="105"/>
      <c r="C5" s="106"/>
      <c r="D5" s="107"/>
      <c r="E5" s="108"/>
      <c r="F5" s="109">
        <v>1.0</v>
      </c>
      <c r="G5" s="110"/>
      <c r="H5" s="109">
        <v>2.0</v>
      </c>
      <c r="I5" s="110"/>
      <c r="J5" s="109">
        <v>3.0</v>
      </c>
      <c r="K5" s="110"/>
      <c r="L5" s="111">
        <v>4.0</v>
      </c>
      <c r="M5" s="110"/>
      <c r="N5" s="109">
        <v>5.0</v>
      </c>
      <c r="O5" s="110"/>
      <c r="P5" s="111">
        <v>6.0</v>
      </c>
      <c r="Q5" s="110"/>
      <c r="R5" s="109">
        <v>7.0</v>
      </c>
      <c r="S5" s="110"/>
      <c r="T5" s="111">
        <v>8.0</v>
      </c>
      <c r="U5" s="110"/>
      <c r="V5" s="111" t="s">
        <v>356</v>
      </c>
      <c r="W5" s="110"/>
      <c r="X5" s="109" t="s">
        <v>357</v>
      </c>
      <c r="Y5" s="110"/>
      <c r="Z5" s="109" t="s">
        <v>358</v>
      </c>
      <c r="AA5" s="110"/>
      <c r="AB5" s="108"/>
      <c r="AC5" s="108"/>
      <c r="AD5" s="112"/>
      <c r="AE5" s="66"/>
      <c r="AF5" s="113"/>
      <c r="AG5" s="113"/>
      <c r="AH5" s="113"/>
      <c r="AI5" s="113"/>
      <c r="AJ5" s="113"/>
      <c r="AK5" s="113"/>
      <c r="AL5" s="113"/>
      <c r="AM5" s="113"/>
      <c r="AN5" s="113"/>
      <c r="AO5" s="113"/>
      <c r="AP5" s="113"/>
      <c r="AQ5" s="113"/>
      <c r="AR5" s="113"/>
      <c r="AS5" s="113"/>
      <c r="AT5" s="70"/>
      <c r="AU5" s="70"/>
      <c r="AV5" s="70"/>
      <c r="AW5" s="70"/>
      <c r="AX5" s="70"/>
      <c r="AY5" s="70"/>
      <c r="AZ5" s="114" t="s">
        <v>359</v>
      </c>
      <c r="BA5" s="115" t="s">
        <v>360</v>
      </c>
      <c r="BB5" s="116" t="s">
        <v>358</v>
      </c>
      <c r="BC5" s="117"/>
      <c r="BD5" s="117"/>
      <c r="BE5" s="117"/>
      <c r="BF5" s="117"/>
      <c r="BG5" s="117"/>
      <c r="BH5" s="117"/>
      <c r="BI5" s="118"/>
      <c r="BJ5" s="118"/>
      <c r="BK5" s="49"/>
      <c r="BL5" s="49"/>
      <c r="BM5" s="119"/>
      <c r="BN5" s="49"/>
      <c r="BO5" s="104"/>
      <c r="BP5" s="104">
        <v>1.0</v>
      </c>
      <c r="BQ5" s="120">
        <f>IFERROR(__xludf.DUMMYFUNCTION("QUERY(BP5:BP164,""select BP where BP is not null"")"),1.0)</f>
        <v>1</v>
      </c>
      <c r="BR5" s="50"/>
      <c r="BS5" s="49"/>
      <c r="BT5" s="49"/>
      <c r="BU5" s="104">
        <v>1.0</v>
      </c>
      <c r="BV5" s="121">
        <f>IFERROR(__xludf.DUMMYFUNCTION("QUERY(BU5:BU164,""select BU where BU is not null"")"),1.0)</f>
        <v>1</v>
      </c>
      <c r="BW5" s="122"/>
      <c r="BX5" s="49"/>
      <c r="BY5" s="49"/>
      <c r="BZ5" s="104">
        <v>1.0</v>
      </c>
      <c r="CA5" s="121">
        <f>IFERROR(__xludf.DUMMYFUNCTION("QUERY(BZ5:BZ164,""select BZ where BZ is not null"")"),1.0)</f>
        <v>1</v>
      </c>
      <c r="CB5" s="49"/>
      <c r="CC5" s="49"/>
      <c r="CD5" s="123"/>
      <c r="CE5" s="49"/>
      <c r="CF5" s="49"/>
      <c r="CG5" s="104"/>
      <c r="CH5" s="104">
        <v>1.0</v>
      </c>
      <c r="CI5" s="121">
        <f>IFERROR(__xludf.DUMMYFUNCTION("QUERY(CH5:CH164,""select CH where CH is not null"")"),1.0)</f>
        <v>1</v>
      </c>
      <c r="CJ5" s="104"/>
      <c r="CK5" s="124"/>
      <c r="CL5" s="75"/>
      <c r="CM5" s="53">
        <v>1.0</v>
      </c>
      <c r="CN5" s="121">
        <f>IFERROR(__xludf.DUMMYFUNCTION("QUERY(CM5:CM164,""select CM where CM is not null"")"),1.0)</f>
        <v>1</v>
      </c>
      <c r="CO5" s="52"/>
      <c r="CP5" s="52"/>
      <c r="CQ5" s="52"/>
      <c r="CR5" s="53">
        <v>1.0</v>
      </c>
      <c r="CS5" s="121">
        <f>IFERROR(__xludf.DUMMYFUNCTION("QUERY(CR5:CR164,""select CR where CR is not null"")"),1.0)</f>
        <v>1</v>
      </c>
      <c r="CT5" s="52"/>
      <c r="CU5" s="52"/>
      <c r="CV5" s="75"/>
      <c r="CW5" s="53">
        <v>1.0</v>
      </c>
      <c r="CX5" s="121">
        <f>IFERROR(__xludf.DUMMYFUNCTION("QUERY(CW5:CW164,""select CW where CW is not null"")"),1.0)</f>
        <v>1</v>
      </c>
      <c r="CY5" s="52"/>
      <c r="CZ5" s="52"/>
      <c r="DA5" s="75"/>
      <c r="DB5" s="53">
        <v>1.0</v>
      </c>
      <c r="DC5" s="121">
        <f>IFERROR(__xludf.DUMMYFUNCTION("QUERY(DB5:DB164,""select DB where DB is not null"")"),1.0)</f>
        <v>1</v>
      </c>
      <c r="DD5" s="121"/>
      <c r="DE5" s="121"/>
      <c r="DF5" s="121"/>
      <c r="DG5" s="121"/>
      <c r="DH5" s="121"/>
    </row>
    <row r="6" ht="13.5" customHeight="1">
      <c r="A6" s="125"/>
      <c r="B6" s="126">
        <v>1.0</v>
      </c>
      <c r="C6" s="127" t="str">
        <f>(VLOOKUP($B6,'Пр.взв'!$D$6:$J$63,2,0))</f>
        <v>ВОРОНЧИХИН  Ярослав</v>
      </c>
      <c r="D6" s="128" t="str">
        <f>(VLOOKUP($B6,'Пр.взв'!$D$6:$J$63,5,0))</f>
        <v>КМС</v>
      </c>
      <c r="E6" s="129" t="str">
        <f>(VLOOKUP($B6,'Пр.взв'!$D$6:$M$63,8,0))</f>
        <v>Амурская</v>
      </c>
      <c r="F6" s="130">
        <f>B8</f>
        <v>2</v>
      </c>
      <c r="G6" s="131"/>
      <c r="H6" s="132">
        <v>3.0</v>
      </c>
      <c r="I6" s="131"/>
      <c r="J6" s="133" t="str">
        <f>IF(H6="Х","Х",IF($AC6&lt;6," ","Х"))</f>
        <v> </v>
      </c>
      <c r="K6" s="134"/>
      <c r="L6" s="133" t="str">
        <f>IF(J6="Х","Х",IF(K6&lt;3," ",IF($AC6&lt;6," ","Х")))</f>
        <v> </v>
      </c>
      <c r="M6" s="134"/>
      <c r="N6" s="133" t="str">
        <f>IF(L6="Х","Х",IF(M6&lt;3," ",IF($AC6&lt;6," ","Х")))</f>
        <v> </v>
      </c>
      <c r="O6" s="134"/>
      <c r="P6" s="133" t="str">
        <f>IF(N6="Х","Х",IF(O6&lt;3," ",IF($AC6&lt;6," ","Х")))</f>
        <v> </v>
      </c>
      <c r="Q6" s="134"/>
      <c r="R6" s="133" t="str">
        <f>IF(P6="Х","Х",IF(Q6&lt;3," ",IF($AC6&lt;6," ","Х")))</f>
        <v> </v>
      </c>
      <c r="S6" s="134"/>
      <c r="T6" s="133" t="str">
        <f>IF(R6="Х","Х",IF(S6&lt;3," ",IF($AC6&lt;6," ","Х")))</f>
        <v> </v>
      </c>
      <c r="U6" s="135"/>
      <c r="V6" s="133" t="str">
        <f>IF(T6="Х","Х",IF(U6&lt;3," ",IF($AC6&lt;6," ","Х")))</f>
        <v> </v>
      </c>
      <c r="W6" s="135"/>
      <c r="X6" s="133" t="str">
        <f>IF(V6="А1",$AZ$7,IF(V6="Б2",$AZ$6,IF(V6="Б1",$BA$7,IF(V6="А2",$BA$6,IF(V6="Х","Х",IF(V6&lt;6," "," "))))))</f>
        <v> </v>
      </c>
      <c r="Y6" s="136"/>
      <c r="Z6" s="133" t="str">
        <f>IF(V6="Х","Х",IF(ISBLANK(Y6),"",IF(Y6&gt;2.5," ",IF(B6=BB$6,BB$7,BB$6))))</f>
        <v/>
      </c>
      <c r="AA6" s="136"/>
      <c r="AB6" s="137" t="str">
        <f>IF(H6="Х",F$5,IF(J6="Х",H$5,IF(L6="Х",J$5,IF(N6="Х",L$5,IF(P6="Х",N$5,IF(R6="Х",P$5,IF(T6="Х",R$5,IF(X6="Х",T$5,""))))))))</f>
        <v/>
      </c>
      <c r="AC6" s="138">
        <f>SUM(G6+I6+K6+M6+O6+Q6+S6+U6+Y6+AA6)</f>
        <v>0</v>
      </c>
      <c r="AD6" s="139" t="str">
        <f>AF6</f>
        <v>1-54</v>
      </c>
      <c r="AE6" s="140" t="str">
        <f>AD6</f>
        <v>1-54</v>
      </c>
      <c r="AF6" s="141" t="str">
        <f>COUNTIF(AG$6:AG$148,"&gt;"&amp;AG$6:AG$148)+1&amp;REPT("-"&amp;COUNTIF(AG$6:AG$148,"&gt;="&amp;AG$6:AG$148),COUNTIF(AG$6:AG$148,AG6)&gt;1)</f>
        <v>1-54</v>
      </c>
      <c r="AG6" s="142">
        <f>(AR6*100)+(AP6*10)-AC6</f>
        <v>1280</v>
      </c>
      <c r="AH6" s="143" t="str">
        <f>IF(OR(F6="Х",F6="св")," ",IF(AND(G6&gt;=0,G6&lt;3),"1"," "))</f>
        <v>1</v>
      </c>
      <c r="AI6" s="90" t="str">
        <f>IF(OR(H6="Х",H6="св")," ",IF(AND(I6&gt;=0,I6&lt;3),"1"," "))</f>
        <v>1</v>
      </c>
      <c r="AJ6" s="90" t="str">
        <f>IF(OR(J6="Х",J6="св")," ",IF(AND(K6&gt;=0,K6&lt;3),"1"," "))</f>
        <v>1</v>
      </c>
      <c r="AK6" s="90" t="str">
        <f>IF(OR(L6="Х",L6="св")," ",IF(AND(M6&gt;=0,M6&lt;3),"1"," "))</f>
        <v>1</v>
      </c>
      <c r="AL6" s="90" t="str">
        <f>IF(OR(N6="Х",N6="св")," ",IF(AND(O6&gt;=0,O6&lt;3),"1"," "))</f>
        <v>1</v>
      </c>
      <c r="AM6" s="90" t="str">
        <f>IF(OR(P6="Х",P6="св")," ",IF(AND(Q6&gt;=0,Q6&lt;3),"1"," "))</f>
        <v>1</v>
      </c>
      <c r="AN6" s="90" t="str">
        <f>IF(OR(R6="Х",R6="св")," ",IF(AND(S6&gt;=0,S6&lt;3),"1"," "))</f>
        <v>1</v>
      </c>
      <c r="AO6" s="90" t="str">
        <f>IF(OR(T6="Х",T6="св")," ",IF(AND(U6&gt;=0,U6&lt;3),"1"," "))</f>
        <v>1</v>
      </c>
      <c r="AP6" s="90">
        <f>COUNTIF(AH6:AO7,1)</f>
        <v>8</v>
      </c>
      <c r="AQ6" s="90">
        <f>AG6-AC6</f>
        <v>1280</v>
      </c>
      <c r="AR6" s="144">
        <f>IF(F6=0,0,IF(F6="Х",1,IF(H6="Х",2,IF(J6="Х",3,IF(L6="Х",4,IF(N6="Х",5,IF(P6="Х",6,IF(R6="Х",7,IF(T6="Х",8,IF(V6="Х",9,IF(Y6&gt;2.5,10,IF(AA6&gt;2.5,11,IF(AA6&gt;=0,12,IF(AA6=" ",0,))))))))))))))</f>
        <v>12</v>
      </c>
      <c r="AS6" s="90" t="str">
        <f>COUNTIF(AG$6:AG$134,"&gt;"&amp;AG$6:AG$134)+1&amp;REPT("-"&amp;COUNTIF(AG$6:AG$134,"&gt;="&amp;AG$6:AG$134),COUNTIF(AG$6:AG$134,AG6)&gt;1)</f>
        <v>1-54</v>
      </c>
      <c r="AT6" s="143" t="str">
        <f t="shared" ref="AT6:AW6" si="1">COUNTIF(AU$6:AU$134,"&gt;"&amp;AU$6:AU$134)+1&amp;REPT("-"&amp;COUNTIF(AU$6:AU$134,"&gt;="&amp;AU$6:AU$134),COUNTIF(AU$6:AU$134,AU6)&gt;1)</f>
        <v>1-64</v>
      </c>
      <c r="AU6" s="143" t="str">
        <f t="shared" si="1"/>
        <v>1-0</v>
      </c>
      <c r="AV6" s="143" t="str">
        <f t="shared" si="1"/>
        <v>1</v>
      </c>
      <c r="AW6" s="143" t="str">
        <f t="shared" si="1"/>
        <v>64</v>
      </c>
      <c r="AX6" s="145">
        <f>IF(X6="Х","Х",IF(Y6&lt;3,B6,"Х"))</f>
        <v>1</v>
      </c>
      <c r="AY6" s="146"/>
      <c r="AZ6" s="147" t="str">
        <f t="array" ref="AZ6">INDEX(B6:V134,MATCH("А1",V6:V134,0),MATCH("№ п/ж",B4:C4,0))</f>
        <v>#N/A</v>
      </c>
      <c r="BA6" s="147" t="str">
        <f t="array" ref="BA6">INDEX(B6:V134,MATCH("Б1",V6:V134,0),MATCH("№ п/ж",B4:C4,0))</f>
        <v>#N/A</v>
      </c>
      <c r="BB6" s="147" t="str">
        <f>IF(ISERROR(BC6),AZ7,AZ6)</f>
        <v>#N/A</v>
      </c>
      <c r="BC6" s="148" t="str">
        <f t="array" ref="BC6">INDEX(B$6:V$134,MATCH(AZ6,AX$6:AX$134,0),MATCH("№ п/ж",B$4:C$4,0))</f>
        <v>#N/A</v>
      </c>
      <c r="BD6" s="147" t="str">
        <f t="shared" ref="BD6:BD7" si="2">INDEX(B$6:V$134,MATCH(BA6,AX$6:AX$134,0),MATCH("№ п/ж",B$4:C$4,0))</f>
        <v>#N/A</v>
      </c>
      <c r="BE6" s="149"/>
      <c r="BF6" s="149"/>
      <c r="BG6" s="146"/>
      <c r="BH6" s="146"/>
      <c r="BI6" s="150"/>
      <c r="BJ6" s="150"/>
      <c r="BK6" s="49"/>
      <c r="BL6" s="49"/>
      <c r="BM6" s="151">
        <f t="array" ref="BM6:BM164">IF($B6:$B164="","",(IF(F6:F164="х"," ",$B6:$B164)))</f>
        <v>1</v>
      </c>
      <c r="BN6" s="152">
        <f t="array" ref="BN6:BN164">IF(BR6:BR164=" "," ",F6:F164)</f>
        <v>2</v>
      </c>
      <c r="BO6" s="153">
        <f>IF(BM6&lt;BN6,BM6,"")</f>
        <v>1</v>
      </c>
      <c r="BP6" s="154">
        <f t="array" ref="BP6:BP164">IF(BO6:BO164="св",0,BO6:BO164)</f>
        <v>1</v>
      </c>
      <c r="BQ6" s="155">
        <f>IFERROR(__xludf.DUMMYFUNCTION("""COMPUTED_VALUE"""),1.0)</f>
        <v>1</v>
      </c>
      <c r="BR6" s="156">
        <f t="array" ref="BR6:BR164">IF($H6:$H164="","",(IF(H6:H164="х"," ",$B6:$B164)))</f>
        <v>1</v>
      </c>
      <c r="BS6" s="157">
        <f t="array" ref="BS6:BS164">IF(BR6:BR164=" "," ",H6:H164)</f>
        <v>3</v>
      </c>
      <c r="BT6" s="153">
        <f>IF(BR6&lt;BS6,BR6,"")</f>
        <v>1</v>
      </c>
      <c r="BU6" s="154">
        <f t="array" ref="BU6:BU164">IF(BT6:BT164="св",0,BT6:BT164)</f>
        <v>1</v>
      </c>
      <c r="BV6" s="158">
        <f>IFERROR(__xludf.DUMMYFUNCTION("""COMPUTED_VALUE"""),1.0)</f>
        <v>1</v>
      </c>
      <c r="BW6" s="159">
        <f t="array" ref="BW6:BW164">IF($J6:$J164="","",(IF(J6:J164="х"," ",$B6:$B164)))</f>
        <v>1</v>
      </c>
      <c r="BX6" s="74" t="str">
        <f t="array" ref="BX6:BX164">IF(BW6:BW164=" "," ",J6:J164)</f>
        <v> </v>
      </c>
      <c r="BY6" s="160">
        <f t="array" ref="BY6">IF(BW6&lt;BX6,BW6,"")</f>
        <v>1</v>
      </c>
      <c r="BZ6" s="160">
        <f t="shared" ref="BZ6:BZ63" si="3">IF(BY6="св",0,BY6)</f>
        <v>1</v>
      </c>
      <c r="CA6" s="161">
        <f>IFERROR(__xludf.DUMMYFUNCTION("""COMPUTED_VALUE"""),1.0)</f>
        <v>1</v>
      </c>
      <c r="CB6" s="74">
        <f t="shared" ref="CB6:CB63" si="4">IF(CA6=0,"св",CA6)</f>
        <v>1</v>
      </c>
      <c r="CC6" s="152" t="str">
        <f>IFERROR(__xludf.DUMMYFUNCTION("QUERY(BY6:BZ164,""select BW,BX where BX is not null"")"),"#VALUE!")</f>
        <v>#VALUE!</v>
      </c>
      <c r="CD6" s="162"/>
      <c r="CE6" s="156">
        <f t="array" ref="CE6:CE164">IF($B6:$B164="","",(IF(L6:L164="х"," ",$B6:$B164)))</f>
        <v>1</v>
      </c>
      <c r="CF6" s="157" t="str">
        <f t="array" ref="CF6:CF164">IF(CE6:CE164=" "," ",L6:L164)</f>
        <v> </v>
      </c>
      <c r="CG6" s="153">
        <f t="array" ref="CG6">IF(CE6&lt;CF6,CE6,"")</f>
        <v>1</v>
      </c>
      <c r="CH6" s="154">
        <f t="array" ref="CH6:CH164">IF(CG6:CG164="св",0,CG6:CG164)</f>
        <v>1</v>
      </c>
      <c r="CI6" s="163">
        <f>IFERROR(__xludf.DUMMYFUNCTION("""COMPUTED_VALUE"""),1.0)</f>
        <v>1</v>
      </c>
      <c r="CJ6" s="164">
        <f t="array" ref="CJ6:CJ164">IF($B6:$B164="","",(IF(N6:N164="х"," ",$B6:$B164)))</f>
        <v>1</v>
      </c>
      <c r="CK6" s="157" t="str">
        <f t="array" ref="CK6:CK164">IF(CJ6:CJ164=" "," ",N6:N164)</f>
        <v> </v>
      </c>
      <c r="CL6" s="153">
        <f t="array" ref="CL6">IF(CJ6&lt;CK6,CJ6,"")</f>
        <v>1</v>
      </c>
      <c r="CM6" s="154">
        <f t="array" ref="CM6:CM164">IF(CL6:CL164="св",0,CL6:CL164)</f>
        <v>1</v>
      </c>
      <c r="CN6" s="163">
        <f>IFERROR(__xludf.DUMMYFUNCTION("""COMPUTED_VALUE"""),1.0)</f>
        <v>1</v>
      </c>
      <c r="CO6" s="164">
        <f t="array" ref="CO6:CO164">IF($B6:$B164="","",(IF(P6:P164="х"," ",$B6:$B164)))</f>
        <v>1</v>
      </c>
      <c r="CP6" s="157" t="str">
        <f t="array" ref="CP6:CP164">IF(CO6:CO164=" "," ",P6:P164)</f>
        <v> </v>
      </c>
      <c r="CQ6" s="153">
        <f t="array" ref="CQ6">IF(CO6&lt;CP6,CO6,"")</f>
        <v>1</v>
      </c>
      <c r="CR6" s="154">
        <f t="array" ref="CR6:CR164">IF(CQ6:CQ164="св",0,CQ6:CQ164)</f>
        <v>1</v>
      </c>
      <c r="CS6" s="163">
        <f>IFERROR(__xludf.DUMMYFUNCTION("""COMPUTED_VALUE"""),1.0)</f>
        <v>1</v>
      </c>
      <c r="CT6" s="164">
        <f t="array" ref="CT6:CT164">IF($B6:$B164="","",(IF(R6:R164="х"," ",$B6:$B164)))</f>
        <v>1</v>
      </c>
      <c r="CU6" s="157" t="str">
        <f t="array" ref="CU6:CU164">IF(CT6:CT164=" "," ",R6:R164)</f>
        <v> </v>
      </c>
      <c r="CV6" s="153">
        <f t="array" ref="CV6">IF(CT6&lt;CU6,CT6,"")</f>
        <v>1</v>
      </c>
      <c r="CW6" s="154">
        <f t="array" ref="CW6:CW164">IF(CV6:CV164="св",0,CV6:CV164)</f>
        <v>1</v>
      </c>
      <c r="CX6" s="163">
        <f>IFERROR(__xludf.DUMMYFUNCTION("""COMPUTED_VALUE"""),1.0)</f>
        <v>1</v>
      </c>
      <c r="CY6" s="164">
        <f t="array" ref="CY6:CY164">IF($B6:$B164="","",(IF(T6:T164="х"," ",$B6:$B164)))</f>
        <v>1</v>
      </c>
      <c r="CZ6" s="157" t="str">
        <f t="array" ref="CZ6:CZ164">IF(CY6:CY164=" "," ",T6:T164)</f>
        <v> </v>
      </c>
      <c r="DA6" s="153">
        <f t="array" ref="DA6">IF(CY6&lt;CZ6,CY6,"")</f>
        <v>1</v>
      </c>
      <c r="DB6" s="154">
        <f t="array" ref="DB6:DB164">IF(DA6:DA164="св",0,DA6:DA164)</f>
        <v>1</v>
      </c>
      <c r="DC6" s="163">
        <f>IFERROR(__xludf.DUMMYFUNCTION("""COMPUTED_VALUE"""),1.0)</f>
        <v>1</v>
      </c>
      <c r="DD6" s="164">
        <f t="array" ref="DD6:DD164">IF($B6:$B164="","",(IF(T6:T164="х"," ",$B6:$B164)))</f>
        <v>1</v>
      </c>
      <c r="DE6" s="161"/>
      <c r="DF6" s="161"/>
      <c r="DG6" s="161"/>
      <c r="DH6" s="161"/>
    </row>
    <row r="7" ht="13.5" customHeight="1">
      <c r="B7" s="165"/>
      <c r="C7" s="165"/>
      <c r="D7" s="165"/>
      <c r="E7" s="165"/>
      <c r="F7" s="166"/>
      <c r="G7" s="167"/>
      <c r="H7" s="168"/>
      <c r="I7" s="167"/>
      <c r="J7" s="168"/>
      <c r="K7" s="167"/>
      <c r="L7" s="168"/>
      <c r="M7" s="167"/>
      <c r="N7" s="168"/>
      <c r="O7" s="167"/>
      <c r="P7" s="168"/>
      <c r="Q7" s="167"/>
      <c r="R7" s="168"/>
      <c r="S7" s="167"/>
      <c r="T7" s="168"/>
      <c r="U7" s="169"/>
      <c r="V7" s="168"/>
      <c r="W7" s="169"/>
      <c r="X7" s="168"/>
      <c r="Y7" s="167"/>
      <c r="Z7" s="168"/>
      <c r="AA7" s="167"/>
      <c r="AB7" s="166"/>
      <c r="AC7" s="165"/>
      <c r="AD7" s="168"/>
      <c r="AE7" s="170"/>
      <c r="AF7" s="171"/>
      <c r="AG7" s="113"/>
      <c r="AH7" s="11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113"/>
      <c r="AU7" s="113"/>
      <c r="AV7" s="113"/>
      <c r="AW7" s="113"/>
      <c r="AY7" s="146"/>
      <c r="AZ7" s="147" t="str">
        <f t="array" ref="AZ7">INDEX(B6:V134,MATCH("Б2",V6:V134,0),MATCH("№ п/ж",B4:C4,0))</f>
        <v>#N/A</v>
      </c>
      <c r="BA7" s="172" t="str">
        <f t="array" ref="BA7">INDEX(B6:V134,MATCH("А2",V6:V134,0),MATCH("№ п/ж",B4:C4,0))</f>
        <v>#N/A</v>
      </c>
      <c r="BB7" s="147" t="str">
        <f>IF(ISERROR(BD6),BA7,BA6)</f>
        <v>#N/A</v>
      </c>
      <c r="BC7" s="148" t="str">
        <f t="array" ref="BC7">INDEX(B6:V118,MATCH(AZ7,AX6:AX118,0),MATCH("№ п/ж",B4:C4,0))</f>
        <v>#N/A</v>
      </c>
      <c r="BD7" s="147" t="str">
        <f t="shared" si="2"/>
        <v>#N/A</v>
      </c>
      <c r="BE7" s="149"/>
      <c r="BF7" s="149"/>
      <c r="BG7" s="146"/>
      <c r="BH7" s="146"/>
      <c r="BI7" s="150"/>
      <c r="BJ7" s="150"/>
      <c r="BK7" s="49"/>
      <c r="BL7" s="49"/>
      <c r="BM7" s="173"/>
      <c r="BN7" s="174"/>
      <c r="BO7" s="175">
        <f>IF(BO6="","",BN6)</f>
        <v>2</v>
      </c>
      <c r="BP7" s="160">
        <v>2.0</v>
      </c>
      <c r="BQ7" s="176">
        <f>IFERROR(__xludf.DUMMYFUNCTION("""COMPUTED_VALUE"""),2.0)</f>
        <v>2</v>
      </c>
      <c r="BR7" s="174"/>
      <c r="BS7" s="174"/>
      <c r="BT7" s="175">
        <f>IF(BT6="","",BS6)</f>
        <v>3</v>
      </c>
      <c r="BU7" s="160">
        <v>3.0</v>
      </c>
      <c r="BV7" s="177">
        <f>IFERROR(__xludf.DUMMYFUNCTION("""COMPUTED_VALUE"""),3.0)</f>
        <v>3</v>
      </c>
      <c r="BW7" s="178"/>
      <c r="BY7" s="160" t="str">
        <f>IF(BY6="","",BX6)</f>
        <v> </v>
      </c>
      <c r="BZ7" s="160" t="str">
        <f t="shared" si="3"/>
        <v> </v>
      </c>
      <c r="CA7" s="74">
        <f>IFERROR(__xludf.DUMMYFUNCTION("""COMPUTED_VALUE"""),2.0)</f>
        <v>2</v>
      </c>
      <c r="CB7" s="74">
        <f t="shared" si="4"/>
        <v>2</v>
      </c>
      <c r="CC7" s="74"/>
      <c r="CD7" s="179"/>
      <c r="CE7" s="174"/>
      <c r="CF7" s="174"/>
      <c r="CG7" s="180" t="str">
        <f>IF(CG6="","",CF6)</f>
        <v> </v>
      </c>
      <c r="CH7" s="181" t="s">
        <v>361</v>
      </c>
      <c r="CI7" s="182">
        <f>IFERROR(__xludf.DUMMYFUNCTION("""COMPUTED_VALUE"""),2.0)</f>
        <v>2</v>
      </c>
      <c r="CJ7" s="183"/>
      <c r="CK7" s="174"/>
      <c r="CL7" s="180" t="str">
        <f>IF(CL6="","",CK6)</f>
        <v> </v>
      </c>
      <c r="CM7" s="184" t="s">
        <v>361</v>
      </c>
      <c r="CN7" s="185">
        <f>IFERROR(__xludf.DUMMYFUNCTION("""COMPUTED_VALUE"""),2.0)</f>
        <v>2</v>
      </c>
      <c r="CO7" s="183"/>
      <c r="CP7" s="174"/>
      <c r="CQ7" s="180" t="str">
        <f>IF(CQ6="","",CP6)</f>
        <v> </v>
      </c>
      <c r="CR7" s="184" t="s">
        <v>361</v>
      </c>
      <c r="CS7" s="186">
        <f>IFERROR(__xludf.DUMMYFUNCTION("""COMPUTED_VALUE"""),2.0)</f>
        <v>2</v>
      </c>
      <c r="CT7" s="183"/>
      <c r="CU7" s="174"/>
      <c r="CV7" s="180" t="str">
        <f>IF(CV6="","",CU6)</f>
        <v> </v>
      </c>
      <c r="CW7" s="52" t="s">
        <v>361</v>
      </c>
      <c r="CX7" s="52">
        <f>IFERROR(__xludf.DUMMYFUNCTION("""COMPUTED_VALUE"""),2.0)</f>
        <v>2</v>
      </c>
      <c r="CY7" s="183"/>
      <c r="CZ7" s="174"/>
      <c r="DA7" s="180" t="str">
        <f>IF(DA6="","",CZ6)</f>
        <v> </v>
      </c>
      <c r="DB7" s="52" t="s">
        <v>361</v>
      </c>
      <c r="DC7" s="52">
        <f>IFERROR(__xludf.DUMMYFUNCTION("""COMPUTED_VALUE"""),2.0)</f>
        <v>2</v>
      </c>
      <c r="DD7" s="183"/>
      <c r="DE7" s="52"/>
      <c r="DF7" s="52"/>
      <c r="DG7" s="52"/>
      <c r="DH7" s="52"/>
    </row>
    <row r="8" ht="13.5" customHeight="1">
      <c r="A8" s="125"/>
      <c r="B8" s="187">
        <v>2.0</v>
      </c>
      <c r="C8" s="188" t="str">
        <f>(VLOOKUP($B8,'Пр.взв'!$D$6:$J$63,2,0))</f>
        <v>ЖАЛИЛОВ Даниил</v>
      </c>
      <c r="D8" s="189" t="str">
        <f>(VLOOKUP($B8,'Пр.взв'!$D$6:$J$63,5,0))</f>
        <v>КМС</v>
      </c>
      <c r="E8" s="190" t="str">
        <f>(VLOOKUP($B8,'Пр.взв'!$D$6:$M$63,8,0))</f>
        <v>Нижегородская</v>
      </c>
      <c r="F8" s="130">
        <f>B6</f>
        <v>1</v>
      </c>
      <c r="G8" s="131"/>
      <c r="H8" s="132">
        <v>4.0</v>
      </c>
      <c r="I8" s="131"/>
      <c r="J8" s="133" t="str">
        <f>IF(H8="Х","Х",IF($AC8&lt;6," ","Х"))</f>
        <v> </v>
      </c>
      <c r="K8" s="134"/>
      <c r="L8" s="133" t="str">
        <f>IF(J8="Х","Х",IF(K8&lt;3," ",IF($AC8&lt;6," ","Х")))</f>
        <v> </v>
      </c>
      <c r="M8" s="134"/>
      <c r="N8" s="133" t="str">
        <f>IF(L8="Х","Х",IF(M8&lt;3," ",IF($AC8&lt;6," ","Х")))</f>
        <v> </v>
      </c>
      <c r="O8" s="134"/>
      <c r="P8" s="133" t="str">
        <f>IF(N8="Х","Х",IF(O8&lt;3," ",IF($AC8&lt;6," ","Х")))</f>
        <v> </v>
      </c>
      <c r="Q8" s="134"/>
      <c r="R8" s="133" t="str">
        <f>IF(P8="Х","Х",IF(Q8&lt;3," ",IF($AC8&lt;6," ","Х")))</f>
        <v> </v>
      </c>
      <c r="S8" s="134"/>
      <c r="T8" s="133" t="str">
        <f>IF(R8="Х","Х",IF(S8&lt;3," ",IF($AC8&lt;6," ","Х")))</f>
        <v> </v>
      </c>
      <c r="U8" s="135"/>
      <c r="V8" s="133" t="str">
        <f>IF(T8="Х","Х",IF(U8&lt;3," ",IF($AC8&lt;6," ","Х")))</f>
        <v> </v>
      </c>
      <c r="W8" s="135"/>
      <c r="X8" s="133" t="str">
        <f>IF(V8="А1",$AZ$7,IF(V8="Б2",$AZ$6,IF(V8="Б1",$BA$7,IF(V8="А2",$BA$6,IF(V8="Х","Х",IF(V8&lt;6," "," "))))))</f>
        <v> </v>
      </c>
      <c r="Y8" s="136"/>
      <c r="Z8" s="133" t="str">
        <f>IF(V8="Х","Х",IF(ISBLANK(Y8),"",IF(Y8&gt;2.5," ",IF(B8=BB$6,BB$7,BB$6))))</f>
        <v/>
      </c>
      <c r="AA8" s="136"/>
      <c r="AB8" s="137" t="str">
        <f>IF(H8="Х",F$5,IF(J8="Х",H$5,IF(L8="Х",J$5,IF(N8="Х",L$5,IF(P8="Х",N$5,IF(R8="Х",P$5,IF(T8="Х",R$5,IF(X8="Х",T$5,""))))))))</f>
        <v/>
      </c>
      <c r="AC8" s="138">
        <f>SUM(G8+I8+K8+M8+O8+Q8+S8+U8+Y8+AA8)</f>
        <v>0</v>
      </c>
      <c r="AD8" s="139" t="str">
        <f>AF8</f>
        <v>1-54</v>
      </c>
      <c r="AE8" s="140" t="str">
        <f>AD8</f>
        <v>1-54</v>
      </c>
      <c r="AF8" s="141" t="str">
        <f>COUNTIF(AG$6:AG$148,"&gt;"&amp;AG$6:AG$148)+1&amp;REPT("-"&amp;COUNTIF(AG$6:AG$148,"&gt;="&amp;AG$6:AG$148),COUNTIF(AG$6:AG$148,AG8)&gt;1)</f>
        <v>1-54</v>
      </c>
      <c r="AG8" s="142">
        <f>(AR8*100)+(AP8*10)-AC8</f>
        <v>1280</v>
      </c>
      <c r="AH8" s="143" t="str">
        <f>IF(OR(F8="Х",F8="св")," ",IF(AND(G8&gt;=0,G8&lt;3),"1"," "))</f>
        <v>1</v>
      </c>
      <c r="AI8" s="90" t="str">
        <f>IF(OR(H8="Х",H8="св")," ",IF(AND(I8&gt;=0,I8&lt;3),"1"," "))</f>
        <v>1</v>
      </c>
      <c r="AJ8" s="90" t="str">
        <f>IF(OR(J8="Х",J8="св")," ",IF(AND(K8&gt;=0,K8&lt;3),"1"," "))</f>
        <v>1</v>
      </c>
      <c r="AK8" s="90" t="str">
        <f>IF(OR(L8="Х",L8="св")," ",IF(AND(M8&gt;=0,M8&lt;3),"1"," "))</f>
        <v>1</v>
      </c>
      <c r="AL8" s="90" t="str">
        <f>IF(OR(N8="Х",N8="св")," ",IF(AND(O8&gt;=0,O8&lt;3),"1"," "))</f>
        <v>1</v>
      </c>
      <c r="AM8" s="90" t="str">
        <f>IF(OR(P8="Х",P8="св")," ",IF(AND(Q8&gt;=0,Q8&lt;3),"1"," "))</f>
        <v>1</v>
      </c>
      <c r="AN8" s="90" t="str">
        <f>IF(OR(R8="Х",R8="св")," ",IF(AND(S8&gt;=0,S8&lt;3),"1"," "))</f>
        <v>1</v>
      </c>
      <c r="AO8" s="90" t="str">
        <f>IF(OR(T8="Х",T8="св")," ",IF(AND(U8&gt;=0,U8&lt;3),"1"," "))</f>
        <v>1</v>
      </c>
      <c r="AP8" s="90">
        <f>COUNTIF(AH8:AO9,1)</f>
        <v>8</v>
      </c>
      <c r="AQ8" s="90">
        <f>AG8-AC8</f>
        <v>1280</v>
      </c>
      <c r="AR8" s="144">
        <f>IF(F8=0,0,IF(F8="Х",1,IF(H8="Х",2,IF(J8="Х",3,IF(L8="Х",4,IF(N8="Х",5,IF(P8="Х",6,IF(R8="Х",7,IF(T8="Х",8,IF(V8="Х",9,IF(Y8&gt;2.5,10,IF(AA8&gt;2.5,11,IF(AA8&gt;=0,12,IF(AA8=" ",0,))))))))))))))</f>
        <v>12</v>
      </c>
      <c r="AS8" s="90" t="str">
        <f>COUNTIF(AG$6:AG$134,"&gt;"&amp;AG$6:AG$134)+1&amp;REPT("-"&amp;COUNTIF(AG$6:AG$134,"&gt;="&amp;AG$6:AG$134),COUNTIF(AG$6:AG$134,AG8)&gt;1)</f>
        <v>1-54</v>
      </c>
      <c r="AT8" s="143" t="str">
        <f t="shared" ref="AT8:AW8" si="5">COUNTIF(AU$6:AU$134,"&gt;"&amp;AU$6:AU$134)+1&amp;REPT("-"&amp;COUNTIF(AU$6:AU$134,"&gt;="&amp;AU$6:AU$134),COUNTIF(AU$6:AU$134,AU8)&gt;1)</f>
        <v>1-64</v>
      </c>
      <c r="AU8" s="143" t="str">
        <f t="shared" si="5"/>
        <v>1-0</v>
      </c>
      <c r="AV8" s="143" t="str">
        <f t="shared" si="5"/>
        <v>1</v>
      </c>
      <c r="AW8" s="143" t="str">
        <f t="shared" si="5"/>
        <v>63</v>
      </c>
      <c r="AX8" s="145">
        <f>IF(X8="Х","Х",IF(Y8&lt;3,B8,"Х"))</f>
        <v>2</v>
      </c>
      <c r="AY8" s="191">
        <f>IF(AZ8&lt;$AY$4,0,AZ8)</f>
        <v>96.66666667</v>
      </c>
      <c r="AZ8" s="192">
        <f>SUM(AY2)*1/2*AY4*2/3</f>
        <v>96.66666667</v>
      </c>
      <c r="BA8" s="191">
        <f>IF(BB8&lt;$AY$4,0,BB8)</f>
        <v>48.33333333</v>
      </c>
      <c r="BB8" s="193">
        <f>SUM(AY2)*1/2*AY4*2/3*1/2</f>
        <v>48.33333333</v>
      </c>
      <c r="BC8" s="191">
        <f>IF(BD8&lt;$AY$4,0,BD8)</f>
        <v>24.16666667</v>
      </c>
      <c r="BD8" s="193">
        <f>SUM(AY2)*1/2*AY4*2/3*1/2*1/2</f>
        <v>24.16666667</v>
      </c>
      <c r="BE8" s="191">
        <f>IF(BF8&lt;$AY$4,0,BF8)</f>
        <v>12.08333333</v>
      </c>
      <c r="BF8" s="193">
        <f>SUM(AY2)*1/2*AY4*2/3*1/2*1/2*1/2</f>
        <v>12.08333333</v>
      </c>
      <c r="BG8" s="63"/>
      <c r="BH8" s="49"/>
      <c r="BI8" s="194"/>
      <c r="BJ8" s="194"/>
      <c r="BK8" s="52"/>
      <c r="BL8" s="52"/>
      <c r="BM8" s="195">
        <v>2.0</v>
      </c>
      <c r="BN8" s="196">
        <v>1.0</v>
      </c>
      <c r="BO8" s="153" t="str">
        <f>IF(BM8&lt;BN8,BM8,"")</f>
        <v/>
      </c>
      <c r="BP8" s="196" t="s">
        <v>362</v>
      </c>
      <c r="BQ8" s="197">
        <f>IFERROR(__xludf.DUMMYFUNCTION("""COMPUTED_VALUE"""),3.0)</f>
        <v>3</v>
      </c>
      <c r="BR8" s="198">
        <v>2.0</v>
      </c>
      <c r="BS8" s="196">
        <v>4.0</v>
      </c>
      <c r="BT8" s="175">
        <f>IF(BR8&lt;BS8,BR8,"")</f>
        <v>2</v>
      </c>
      <c r="BU8" s="196">
        <v>2.0</v>
      </c>
      <c r="BV8" s="196">
        <f>IFERROR(__xludf.DUMMYFUNCTION("""COMPUTED_VALUE"""),2.0)</f>
        <v>2</v>
      </c>
      <c r="BW8" s="199">
        <v>2.0</v>
      </c>
      <c r="BX8" s="74" t="s">
        <v>361</v>
      </c>
      <c r="BY8" s="160">
        <f t="array" ref="BY8">IF(BW8&lt;BX8,BW8,"")</f>
        <v>2</v>
      </c>
      <c r="BZ8" s="160">
        <f t="shared" si="3"/>
        <v>2</v>
      </c>
      <c r="CA8" s="74">
        <f>IFERROR(__xludf.DUMMYFUNCTION("""COMPUTED_VALUE"""),3.0)</f>
        <v>3</v>
      </c>
      <c r="CB8" s="74">
        <f t="shared" si="4"/>
        <v>3</v>
      </c>
      <c r="CC8" s="74"/>
      <c r="CD8" s="179"/>
      <c r="CE8" s="200">
        <v>2.0</v>
      </c>
      <c r="CF8" s="25" t="s">
        <v>361</v>
      </c>
      <c r="CG8" s="153">
        <f t="array" ref="CG8">IF(CE8&lt;CF8,CE8,"")</f>
        <v>2</v>
      </c>
      <c r="CH8" s="74">
        <v>2.0</v>
      </c>
      <c r="CI8" s="182">
        <f>IFERROR(__xludf.DUMMYFUNCTION("""COMPUTED_VALUE"""),3.0)</f>
        <v>3</v>
      </c>
      <c r="CJ8" s="93">
        <v>2.0</v>
      </c>
      <c r="CK8" s="201" t="s">
        <v>361</v>
      </c>
      <c r="CL8" s="153">
        <f t="array" ref="CL8">IF(CJ8&lt;CK8,CJ8,"")</f>
        <v>2</v>
      </c>
      <c r="CM8" s="52">
        <v>2.0</v>
      </c>
      <c r="CN8" s="52">
        <f>IFERROR(__xludf.DUMMYFUNCTION("""COMPUTED_VALUE"""),3.0)</f>
        <v>3</v>
      </c>
      <c r="CO8" s="196">
        <v>2.0</v>
      </c>
      <c r="CP8" s="202" t="s">
        <v>361</v>
      </c>
      <c r="CQ8" s="153">
        <f t="array" ref="CQ8">IF(CO8&lt;CP8,CO8,"")</f>
        <v>2</v>
      </c>
      <c r="CR8" s="75">
        <v>2.0</v>
      </c>
      <c r="CS8" s="75">
        <f>IFERROR(__xludf.DUMMYFUNCTION("""COMPUTED_VALUE"""),3.0)</f>
        <v>3</v>
      </c>
      <c r="CT8" s="202">
        <v>2.0</v>
      </c>
      <c r="CU8" s="196" t="s">
        <v>361</v>
      </c>
      <c r="CV8" s="153">
        <f t="array" ref="CV8">IF(CT8&lt;CU8,CT8,"")</f>
        <v>2</v>
      </c>
      <c r="CW8" s="52">
        <v>2.0</v>
      </c>
      <c r="CX8" s="52">
        <f>IFERROR(__xludf.DUMMYFUNCTION("""COMPUTED_VALUE"""),3.0)</f>
        <v>3</v>
      </c>
      <c r="CY8" s="202">
        <v>2.0</v>
      </c>
      <c r="CZ8" s="196" t="s">
        <v>361</v>
      </c>
      <c r="DA8" s="153">
        <f t="array" ref="DA8">IF(CY8&lt;CZ8,CY8,"")</f>
        <v>2</v>
      </c>
      <c r="DB8" s="52">
        <v>2.0</v>
      </c>
      <c r="DC8" s="52">
        <f>IFERROR(__xludf.DUMMYFUNCTION("""COMPUTED_VALUE"""),3.0)</f>
        <v>3</v>
      </c>
      <c r="DD8" s="52">
        <v>2.0</v>
      </c>
      <c r="DE8" s="52"/>
      <c r="DF8" s="52"/>
      <c r="DG8" s="52"/>
      <c r="DH8" s="52"/>
    </row>
    <row r="9" ht="13.5" customHeight="1">
      <c r="B9" s="165"/>
      <c r="C9" s="165"/>
      <c r="D9" s="165"/>
      <c r="E9" s="165"/>
      <c r="F9" s="166"/>
      <c r="G9" s="167"/>
      <c r="H9" s="168"/>
      <c r="I9" s="167"/>
      <c r="J9" s="168"/>
      <c r="K9" s="167"/>
      <c r="L9" s="168"/>
      <c r="M9" s="167"/>
      <c r="N9" s="168"/>
      <c r="O9" s="167"/>
      <c r="P9" s="168"/>
      <c r="Q9" s="167"/>
      <c r="R9" s="168"/>
      <c r="S9" s="167"/>
      <c r="T9" s="168"/>
      <c r="U9" s="169"/>
      <c r="V9" s="168"/>
      <c r="W9" s="169"/>
      <c r="X9" s="168"/>
      <c r="Y9" s="167"/>
      <c r="Z9" s="168"/>
      <c r="AA9" s="167"/>
      <c r="AB9" s="166"/>
      <c r="AC9" s="165"/>
      <c r="AD9" s="168"/>
      <c r="AE9" s="170"/>
      <c r="AF9" s="171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Y9" s="203" t="s">
        <v>363</v>
      </c>
      <c r="AZ9" s="204"/>
      <c r="BA9" s="204"/>
      <c r="BB9" s="204"/>
      <c r="BC9" s="204"/>
      <c r="BD9" s="204"/>
      <c r="BE9" s="204"/>
      <c r="BF9" s="204"/>
      <c r="BG9" s="205"/>
      <c r="BH9" s="206"/>
      <c r="BI9" s="194"/>
      <c r="BJ9" s="194"/>
      <c r="BK9" s="52"/>
      <c r="BL9" s="52"/>
      <c r="BM9" s="178"/>
      <c r="BO9" s="175" t="str">
        <f>IF(BO8="","",BN8)</f>
        <v/>
      </c>
      <c r="BP9" s="175" t="s">
        <v>362</v>
      </c>
      <c r="BQ9" s="197">
        <f>IFERROR(__xludf.DUMMYFUNCTION("""COMPUTED_VALUE"""),4.0)</f>
        <v>4</v>
      </c>
      <c r="BT9" s="175">
        <f>IF(BT8="","",BS8)</f>
        <v>4</v>
      </c>
      <c r="BU9" s="175">
        <v>4.0</v>
      </c>
      <c r="BV9" s="196">
        <f>IFERROR(__xludf.DUMMYFUNCTION("""COMPUTED_VALUE"""),4.0)</f>
        <v>4</v>
      </c>
      <c r="BW9" s="178"/>
      <c r="BY9" s="160" t="str">
        <f>IF(BY8="","",BX8)</f>
        <v> </v>
      </c>
      <c r="BZ9" s="160" t="str">
        <f t="shared" si="3"/>
        <v> </v>
      </c>
      <c r="CA9" s="74">
        <f>IFERROR(__xludf.DUMMYFUNCTION("""COMPUTED_VALUE"""),4.0)</f>
        <v>4</v>
      </c>
      <c r="CB9" s="74">
        <f t="shared" si="4"/>
        <v>4</v>
      </c>
      <c r="CC9" s="74"/>
      <c r="CD9" s="179"/>
      <c r="CG9" s="180" t="str">
        <f>IF(CG8="","",CF8)</f>
        <v> </v>
      </c>
      <c r="CH9" s="200" t="s">
        <v>361</v>
      </c>
      <c r="CI9" s="182">
        <f>IFERROR(__xludf.DUMMYFUNCTION("""COMPUTED_VALUE"""),4.0)</f>
        <v>4</v>
      </c>
      <c r="CJ9" s="49" t="s">
        <v>362</v>
      </c>
      <c r="CK9" s="207"/>
      <c r="CL9" s="180" t="str">
        <f>IF(CL8="","",CK8)</f>
        <v> </v>
      </c>
      <c r="CM9" s="52" t="s">
        <v>361</v>
      </c>
      <c r="CN9" s="52">
        <f>IFERROR(__xludf.DUMMYFUNCTION("""COMPUTED_VALUE"""),4.0)</f>
        <v>4</v>
      </c>
      <c r="CQ9" s="180" t="str">
        <f>IF(CQ8="","",CP8)</f>
        <v> </v>
      </c>
      <c r="CR9" s="52" t="s">
        <v>361</v>
      </c>
      <c r="CS9" s="75">
        <f>IFERROR(__xludf.DUMMYFUNCTION("""COMPUTED_VALUE"""),4.0)</f>
        <v>4</v>
      </c>
      <c r="CV9" s="180" t="str">
        <f>IF(CV8="","",CU8)</f>
        <v> </v>
      </c>
      <c r="CW9" s="52" t="s">
        <v>361</v>
      </c>
      <c r="CX9" s="52">
        <f>IFERROR(__xludf.DUMMYFUNCTION("""COMPUTED_VALUE"""),4.0)</f>
        <v>4</v>
      </c>
      <c r="DA9" s="180" t="str">
        <f>IF(DA8="","",CZ8)</f>
        <v> </v>
      </c>
      <c r="DB9" s="52" t="s">
        <v>361</v>
      </c>
      <c r="DC9" s="52">
        <f>IFERROR(__xludf.DUMMYFUNCTION("""COMPUTED_VALUE"""),4.0)</f>
        <v>4</v>
      </c>
      <c r="DD9" s="52" t="s">
        <v>362</v>
      </c>
      <c r="DE9" s="52"/>
      <c r="DF9" s="52"/>
      <c r="DG9" s="52"/>
      <c r="DH9" s="52"/>
    </row>
    <row r="10" ht="13.5" customHeight="1">
      <c r="A10" s="208"/>
      <c r="B10" s="187">
        <v>3.0</v>
      </c>
      <c r="C10" s="188" t="str">
        <f>(VLOOKUP($B10,'Пр.взв'!$D$6:$J$63,2,0))</f>
        <v> ЛАТЫНЦЕВ Родион</v>
      </c>
      <c r="D10" s="189" t="str">
        <f>(VLOOKUP($B10,'Пр.взв'!$D$6:$J$63,5,0))</f>
        <v>КМС</v>
      </c>
      <c r="E10" s="190" t="str">
        <f>(VLOOKUP($B10,'Пр.взв'!$D$6:$M$63,8,0))</f>
        <v>Калининградская</v>
      </c>
      <c r="F10" s="130">
        <f>B12</f>
        <v>4</v>
      </c>
      <c r="G10" s="131"/>
      <c r="H10" s="132">
        <v>1.0</v>
      </c>
      <c r="I10" s="131"/>
      <c r="J10" s="133" t="str">
        <f>IF(H10="Х","Х",IF($AC10&lt;6," ","Х"))</f>
        <v> </v>
      </c>
      <c r="K10" s="134"/>
      <c r="L10" s="133" t="str">
        <f>IF(J10="Х","Х",IF(K10&lt;3," ",IF($AC10&lt;6," ","Х")))</f>
        <v> </v>
      </c>
      <c r="M10" s="134"/>
      <c r="N10" s="133" t="str">
        <f>IF(L10="Х","Х",IF(M10&lt;3," ",IF($AC10&lt;6," ","Х")))</f>
        <v> </v>
      </c>
      <c r="O10" s="134"/>
      <c r="P10" s="133" t="str">
        <f>IF(N10="Х","Х",IF(O10&lt;3," ",IF($AC10&lt;6," ","Х")))</f>
        <v> </v>
      </c>
      <c r="Q10" s="134"/>
      <c r="R10" s="133" t="str">
        <f>IF(P10="Х","Х",IF(Q10&lt;3," ",IF($AC10&lt;6," ","Х")))</f>
        <v> </v>
      </c>
      <c r="S10" s="134"/>
      <c r="T10" s="133" t="str">
        <f>IF(R10="Х","Х",IF(S10&lt;3," ",IF($AC10&lt;6," ","Х")))</f>
        <v> </v>
      </c>
      <c r="U10" s="135"/>
      <c r="V10" s="133" t="str">
        <f>IF(T10="Х","Х",IF(U10&lt;3," ",IF($AC10&lt;6," ","Х")))</f>
        <v> </v>
      </c>
      <c r="W10" s="135"/>
      <c r="X10" s="133" t="str">
        <f>IF(V10="А1",$AZ$7,IF(V10="Б2",$AZ$6,IF(V10="Б1",$BA$7,IF(V10="А2",$BA$6,IF(V10="Х","Х",IF(V10&lt;6," "," "))))))</f>
        <v> </v>
      </c>
      <c r="Y10" s="136"/>
      <c r="Z10" s="133" t="str">
        <f>IF(V10="Х","Х",IF(ISBLANK(Y10),"",IF(Y10&gt;2.5," ",IF(B10=BB$6,BB$7,BB$6))))</f>
        <v/>
      </c>
      <c r="AA10" s="136"/>
      <c r="AB10" s="137" t="str">
        <f>IF(H10="Х",F$5,IF(J10="Х",H$5,IF(L10="Х",J$5,IF(N10="Х",L$5,IF(P10="Х",N$5,IF(R10="Х",P$5,IF(T10="Х",R$5,IF(X10="Х",T$5,""))))))))</f>
        <v/>
      </c>
      <c r="AC10" s="138">
        <f>SUM(G10+I10+K10+M10+O10+Q10+S10+U10+Y10+AA10)</f>
        <v>0</v>
      </c>
      <c r="AD10" s="139" t="str">
        <f>AF10</f>
        <v>1-54</v>
      </c>
      <c r="AE10" s="140" t="str">
        <f>AD10</f>
        <v>1-54</v>
      </c>
      <c r="AF10" s="141" t="str">
        <f>COUNTIF(AG$6:AG$148,"&gt;"&amp;AG$6:AG$148)+1&amp;REPT("-"&amp;COUNTIF(AG$6:AG$148,"&gt;="&amp;AG$6:AG$148),COUNTIF(AG$6:AG$148,AG10)&gt;1)</f>
        <v>1-54</v>
      </c>
      <c r="AG10" s="142">
        <f>(AR10*100)+(AP10*10)-AC10</f>
        <v>1280</v>
      </c>
      <c r="AH10" s="143" t="str">
        <f>IF(OR(F10="Х",F10="св")," ",IF(AND(G10&gt;=0,G10&lt;3),"1"," "))</f>
        <v>1</v>
      </c>
      <c r="AI10" s="90" t="str">
        <f>IF(OR(H10="Х",H10="св")," ",IF(AND(I10&gt;=0,I10&lt;3),"1"," "))</f>
        <v>1</v>
      </c>
      <c r="AJ10" s="90" t="str">
        <f>IF(OR(J10="Х",J10="св")," ",IF(AND(K10&gt;=0,K10&lt;3),"1"," "))</f>
        <v>1</v>
      </c>
      <c r="AK10" s="90" t="str">
        <f>IF(OR(L10="Х",L10="св")," ",IF(AND(M10&gt;=0,M10&lt;3),"1"," "))</f>
        <v>1</v>
      </c>
      <c r="AL10" s="90" t="str">
        <f>IF(OR(N10="Х",N10="св")," ",IF(AND(O10&gt;=0,O10&lt;3),"1"," "))</f>
        <v>1</v>
      </c>
      <c r="AM10" s="90" t="str">
        <f>IF(OR(P10="Х",P10="св")," ",IF(AND(Q10&gt;=0,Q10&lt;3),"1"," "))</f>
        <v>1</v>
      </c>
      <c r="AN10" s="90" t="str">
        <f>IF(OR(R10="Х",R10="св")," ",IF(AND(S10&gt;=0,S10&lt;3),"1"," "))</f>
        <v>1</v>
      </c>
      <c r="AO10" s="90" t="str">
        <f>IF(OR(T10="Х",T10="св")," ",IF(AND(U10&gt;=0,U10&lt;3),"1"," "))</f>
        <v>1</v>
      </c>
      <c r="AP10" s="90">
        <f>COUNTIF(AH10:AO11,1)</f>
        <v>8</v>
      </c>
      <c r="AQ10" s="90">
        <f>AG10-AC10</f>
        <v>1280</v>
      </c>
      <c r="AR10" s="144">
        <f>IF(F10=0,0,IF(F10="Х",1,IF(H10="Х",2,IF(J10="Х",3,IF(L10="Х",4,IF(N10="Х",5,IF(P10="Х",6,IF(R10="Х",7,IF(T10="Х",8,IF(V10="Х",9,IF(Y10&gt;2.5,10,IF(AA10&gt;2.5,11,IF(AA10&gt;=0,12,IF(AA10=" ",0,))))))))))))))</f>
        <v>12</v>
      </c>
      <c r="AS10" s="90" t="str">
        <f>COUNTIF(AG$6:AG$134,"&gt;"&amp;AG$6:AG$134)+1&amp;REPT("-"&amp;COUNTIF(AG$6:AG$134,"&gt;="&amp;AG$6:AG$134),COUNTIF(AG$6:AG$134,AG10)&gt;1)</f>
        <v>1-54</v>
      </c>
      <c r="AT10" s="143" t="str">
        <f t="shared" ref="AT10:AW10" si="6">COUNTIF(AU$6:AU$134,"&gt;"&amp;AU$6:AU$134)+1&amp;REPT("-"&amp;COUNTIF(AU$6:AU$134,"&gt;="&amp;AU$6:AU$134),COUNTIF(AU$6:AU$134,AU10)&gt;1)</f>
        <v>1-64</v>
      </c>
      <c r="AU10" s="143" t="str">
        <f t="shared" si="6"/>
        <v>1-0</v>
      </c>
      <c r="AV10" s="143" t="str">
        <f t="shared" si="6"/>
        <v>1</v>
      </c>
      <c r="AW10" s="143" t="str">
        <f t="shared" si="6"/>
        <v>62</v>
      </c>
      <c r="AX10" s="145">
        <f>IF(X10="Х","Х",IF(Y10&lt;3,B10,"Х"))</f>
        <v>3</v>
      </c>
      <c r="AY10" s="209">
        <v>3.0</v>
      </c>
      <c r="AZ10" s="171"/>
      <c r="BA10" s="210">
        <v>4.0</v>
      </c>
      <c r="BB10" s="171"/>
      <c r="BC10" s="211">
        <v>5.0</v>
      </c>
      <c r="BD10" s="204"/>
      <c r="BE10" s="212">
        <v>6.0</v>
      </c>
      <c r="BF10" s="204"/>
      <c r="BG10" s="213">
        <v>7.0</v>
      </c>
      <c r="BH10" s="213">
        <v>8.0</v>
      </c>
      <c r="BI10" s="196"/>
      <c r="BK10" s="124"/>
      <c r="BM10" s="195">
        <v>3.0</v>
      </c>
      <c r="BN10" s="196">
        <v>4.0</v>
      </c>
      <c r="BO10" s="153">
        <f>IF(BM10&lt;BN10,BM10,"")</f>
        <v>3</v>
      </c>
      <c r="BP10" s="196">
        <v>3.0</v>
      </c>
      <c r="BQ10" s="197">
        <f>IFERROR(__xludf.DUMMYFUNCTION("""COMPUTED_VALUE"""),5.0)</f>
        <v>5</v>
      </c>
      <c r="BR10" s="198">
        <v>3.0</v>
      </c>
      <c r="BS10" s="196">
        <v>1.0</v>
      </c>
      <c r="BT10" s="175" t="str">
        <f>IF(BR10&lt;BS10,BR10,"")</f>
        <v/>
      </c>
      <c r="BU10" s="196" t="s">
        <v>362</v>
      </c>
      <c r="BV10" s="196">
        <f>IFERROR(__xludf.DUMMYFUNCTION("""COMPUTED_VALUE"""),5.0)</f>
        <v>5</v>
      </c>
      <c r="BW10" s="199">
        <v>3.0</v>
      </c>
      <c r="BX10" s="74" t="s">
        <v>361</v>
      </c>
      <c r="BY10" s="160">
        <f t="array" ref="BY10">IF(BW10&lt;BX10,BW10,"")</f>
        <v>3</v>
      </c>
      <c r="BZ10" s="160">
        <f t="shared" si="3"/>
        <v>3</v>
      </c>
      <c r="CA10" s="74">
        <f>IFERROR(__xludf.DUMMYFUNCTION("""COMPUTED_VALUE"""),5.0)</f>
        <v>5</v>
      </c>
      <c r="CB10" s="74">
        <f t="shared" si="4"/>
        <v>5</v>
      </c>
      <c r="CC10" s="74"/>
      <c r="CD10" s="179"/>
      <c r="CE10" s="200">
        <v>3.0</v>
      </c>
      <c r="CF10" s="25" t="s">
        <v>361</v>
      </c>
      <c r="CG10" s="153">
        <f t="array" ref="CG10">IF(CE10&lt;CF10,CE10,"")</f>
        <v>3</v>
      </c>
      <c r="CH10" s="74">
        <v>3.0</v>
      </c>
      <c r="CI10" s="182">
        <f>IFERROR(__xludf.DUMMYFUNCTION("""COMPUTED_VALUE"""),5.0)</f>
        <v>5</v>
      </c>
      <c r="CJ10" s="93">
        <v>3.0</v>
      </c>
      <c r="CK10" s="201" t="s">
        <v>361</v>
      </c>
      <c r="CL10" s="153">
        <f t="array" ref="CL10">IF(CJ10&lt;CK10,CJ10,"")</f>
        <v>3</v>
      </c>
      <c r="CM10" s="52">
        <v>3.0</v>
      </c>
      <c r="CN10" s="52">
        <f>IFERROR(__xludf.DUMMYFUNCTION("""COMPUTED_VALUE"""),5.0)</f>
        <v>5</v>
      </c>
      <c r="CO10" s="196">
        <v>3.0</v>
      </c>
      <c r="CP10" s="202" t="s">
        <v>361</v>
      </c>
      <c r="CQ10" s="153">
        <f t="array" ref="CQ10">IF(CO10&lt;CP10,CO10,"")</f>
        <v>3</v>
      </c>
      <c r="CR10" s="75">
        <v>3.0</v>
      </c>
      <c r="CS10" s="75">
        <f>IFERROR(__xludf.DUMMYFUNCTION("""COMPUTED_VALUE"""),5.0)</f>
        <v>5</v>
      </c>
      <c r="CT10" s="202">
        <v>3.0</v>
      </c>
      <c r="CU10" s="196" t="s">
        <v>361</v>
      </c>
      <c r="CV10" s="153">
        <f t="array" ref="CV10">IF(CT10&lt;CU10,CT10,"")</f>
        <v>3</v>
      </c>
      <c r="CW10" s="52">
        <v>3.0</v>
      </c>
      <c r="CX10" s="52">
        <f>IFERROR(__xludf.DUMMYFUNCTION("""COMPUTED_VALUE"""),5.0)</f>
        <v>5</v>
      </c>
      <c r="CY10" s="202">
        <v>3.0</v>
      </c>
      <c r="CZ10" s="196" t="s">
        <v>361</v>
      </c>
      <c r="DA10" s="153">
        <f t="array" ref="DA10">IF(CY10&lt;CZ10,CY10,"")</f>
        <v>3</v>
      </c>
      <c r="DB10" s="52">
        <v>3.0</v>
      </c>
      <c r="DC10" s="52">
        <f>IFERROR(__xludf.DUMMYFUNCTION("""COMPUTED_VALUE"""),5.0)</f>
        <v>5</v>
      </c>
      <c r="DD10" s="52">
        <v>3.0</v>
      </c>
      <c r="DE10" s="52"/>
      <c r="DF10" s="52"/>
      <c r="DG10" s="52"/>
      <c r="DH10" s="52"/>
    </row>
    <row r="11" ht="13.5" customHeight="1">
      <c r="A11" s="208"/>
      <c r="B11" s="165"/>
      <c r="C11" s="165"/>
      <c r="D11" s="165"/>
      <c r="E11" s="165"/>
      <c r="F11" s="166"/>
      <c r="G11" s="167"/>
      <c r="H11" s="168"/>
      <c r="I11" s="167"/>
      <c r="J11" s="168"/>
      <c r="K11" s="167"/>
      <c r="L11" s="168"/>
      <c r="M11" s="167"/>
      <c r="N11" s="168"/>
      <c r="O11" s="167"/>
      <c r="P11" s="168"/>
      <c r="Q11" s="167"/>
      <c r="R11" s="168"/>
      <c r="S11" s="167"/>
      <c r="T11" s="168"/>
      <c r="U11" s="169"/>
      <c r="V11" s="168"/>
      <c r="W11" s="169"/>
      <c r="X11" s="168"/>
      <c r="Y11" s="167"/>
      <c r="Z11" s="168"/>
      <c r="AA11" s="167"/>
      <c r="AB11" s="166"/>
      <c r="AC11" s="165"/>
      <c r="AD11" s="168"/>
      <c r="AE11" s="170"/>
      <c r="AF11" s="171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Y11" s="214">
        <f t="array" ref="AY11:AY169">IF(CA6:CA164&gt;$AY$3,"",CA6:CA164)</f>
        <v>1</v>
      </c>
      <c r="AZ11" s="215"/>
      <c r="BA11" s="216">
        <f t="array" ref="BA11:BA169">IF(CI6:CI164&gt;$AY$3,"",CI6:CI164)</f>
        <v>1</v>
      </c>
      <c r="BB11" s="217"/>
      <c r="BC11" s="218">
        <f t="array" ref="BC11:BC169">IF(CN6:CN164&gt;$AY$3,"",CN6:CN164)</f>
        <v>1</v>
      </c>
      <c r="BD11" s="219">
        <f t="array" ref="BD11:BD169">IF(BQ6:BQ164&gt;$AY$3,"",BQ6:BQ164)</f>
        <v>1</v>
      </c>
      <c r="BE11" s="218">
        <f t="array" ref="BE11:BE169">IF(CS6:CS164&gt;$AY$3,"",CS6:CS164)</f>
        <v>1</v>
      </c>
      <c r="BF11" s="220">
        <f t="array" ref="BF11:BF169">IF(BV6:BV164&gt;$AY$3,"",BV6:BV164)</f>
        <v>1</v>
      </c>
      <c r="BG11" s="214">
        <f t="array" ref="BG11:BG169">IF(CX6:CX164&gt;$AY$3,"",CX6:CX164)</f>
        <v>1</v>
      </c>
      <c r="BH11" s="218">
        <f t="array" ref="BH11:BH169">IF(CX6:CX164&gt;$AY$3,"",CX6:CX164)</f>
        <v>1</v>
      </c>
      <c r="BI11" s="221"/>
      <c r="BM11" s="178"/>
      <c r="BO11" s="175">
        <f>IF(BO10="","",BN10)</f>
        <v>4</v>
      </c>
      <c r="BP11" s="175">
        <v>4.0</v>
      </c>
      <c r="BQ11" s="197">
        <f>IFERROR(__xludf.DUMMYFUNCTION("""COMPUTED_VALUE"""),6.0)</f>
        <v>6</v>
      </c>
      <c r="BT11" s="175" t="str">
        <f>IF(BT10="","",BS10)</f>
        <v/>
      </c>
      <c r="BU11" s="175" t="s">
        <v>362</v>
      </c>
      <c r="BV11" s="196">
        <f>IFERROR(__xludf.DUMMYFUNCTION("""COMPUTED_VALUE"""),7.0)</f>
        <v>7</v>
      </c>
      <c r="BW11" s="178"/>
      <c r="BY11" s="160" t="str">
        <f>IF(BY10="","",BX10)</f>
        <v> </v>
      </c>
      <c r="BZ11" s="160" t="str">
        <f t="shared" si="3"/>
        <v> </v>
      </c>
      <c r="CA11" s="74">
        <f>IFERROR(__xludf.DUMMYFUNCTION("""COMPUTED_VALUE"""),6.0)</f>
        <v>6</v>
      </c>
      <c r="CB11" s="74">
        <f t="shared" si="4"/>
        <v>6</v>
      </c>
      <c r="CC11" s="74"/>
      <c r="CD11" s="179"/>
      <c r="CG11" s="180" t="str">
        <f>IF(CG10="","",CF10)</f>
        <v> </v>
      </c>
      <c r="CH11" s="200" t="s">
        <v>361</v>
      </c>
      <c r="CI11" s="182">
        <f>IFERROR(__xludf.DUMMYFUNCTION("""COMPUTED_VALUE"""),6.0)</f>
        <v>6</v>
      </c>
      <c r="CJ11" s="49" t="s">
        <v>362</v>
      </c>
      <c r="CK11" s="207"/>
      <c r="CL11" s="180" t="str">
        <f>IF(CL10="","",CK10)</f>
        <v> </v>
      </c>
      <c r="CM11" s="52" t="s">
        <v>361</v>
      </c>
      <c r="CN11" s="52">
        <f>IFERROR(__xludf.DUMMYFUNCTION("""COMPUTED_VALUE"""),6.0)</f>
        <v>6</v>
      </c>
      <c r="CQ11" s="180" t="str">
        <f>IF(CQ10="","",CP10)</f>
        <v> </v>
      </c>
      <c r="CR11" s="52" t="s">
        <v>361</v>
      </c>
      <c r="CS11" s="75">
        <f>IFERROR(__xludf.DUMMYFUNCTION("""COMPUTED_VALUE"""),6.0)</f>
        <v>6</v>
      </c>
      <c r="CV11" s="180" t="str">
        <f>IF(CV10="","",CU10)</f>
        <v> </v>
      </c>
      <c r="CW11" s="52" t="s">
        <v>361</v>
      </c>
      <c r="CX11" s="52">
        <f>IFERROR(__xludf.DUMMYFUNCTION("""COMPUTED_VALUE"""),6.0)</f>
        <v>6</v>
      </c>
      <c r="DA11" s="180" t="str">
        <f>IF(DA10="","",CZ10)</f>
        <v> </v>
      </c>
      <c r="DB11" s="52" t="s">
        <v>361</v>
      </c>
      <c r="DC11" s="52">
        <f>IFERROR(__xludf.DUMMYFUNCTION("""COMPUTED_VALUE"""),6.0)</f>
        <v>6</v>
      </c>
      <c r="DD11" s="52" t="s">
        <v>362</v>
      </c>
      <c r="DE11" s="52"/>
      <c r="DF11" s="52"/>
      <c r="DG11" s="52"/>
      <c r="DH11" s="52"/>
    </row>
    <row r="12" ht="13.5" customHeight="1">
      <c r="A12" s="208"/>
      <c r="B12" s="187">
        <v>4.0</v>
      </c>
      <c r="C12" s="188" t="str">
        <f>(VLOOKUP($B12,'Пр.взв'!$D$6:$J$63,2,0))</f>
        <v>ОСМАНОВ  Анар</v>
      </c>
      <c r="D12" s="189" t="str">
        <f>(VLOOKUP($B12,'Пр.взв'!$D$6:$J$63,5,0))</f>
        <v>КМС</v>
      </c>
      <c r="E12" s="190" t="str">
        <f>(VLOOKUP($B12,'Пр.взв'!$D$6:$M$63,8,0))</f>
        <v>Свердловская</v>
      </c>
      <c r="F12" s="130">
        <f>B10</f>
        <v>3</v>
      </c>
      <c r="G12" s="131"/>
      <c r="H12" s="132">
        <v>2.0</v>
      </c>
      <c r="I12" s="131"/>
      <c r="J12" s="133" t="str">
        <f>IF(H12="Х","Х",IF($AC12&lt;6," ","Х"))</f>
        <v> </v>
      </c>
      <c r="K12" s="134"/>
      <c r="L12" s="133" t="str">
        <f>IF(J12="Х","Х",IF(K12&lt;3," ",IF($AC12&lt;6," ","Х")))</f>
        <v> </v>
      </c>
      <c r="M12" s="134"/>
      <c r="N12" s="133" t="str">
        <f>IF(L12="Х","Х",IF(M12&lt;3," ",IF($AC12&lt;6," ","Х")))</f>
        <v> </v>
      </c>
      <c r="O12" s="134"/>
      <c r="P12" s="133" t="str">
        <f>IF(N12="Х","Х",IF(O12&lt;3," ",IF($AC12&lt;6," ","Х")))</f>
        <v> </v>
      </c>
      <c r="Q12" s="134"/>
      <c r="R12" s="133" t="str">
        <f>IF(P12="Х","Х",IF(Q12&lt;3," ",IF($AC12&lt;6," ","Х")))</f>
        <v> </v>
      </c>
      <c r="S12" s="134"/>
      <c r="T12" s="133" t="str">
        <f>IF(R12="Х","Х",IF(S12&lt;3," ",IF($AC12&lt;6," ","Х")))</f>
        <v> </v>
      </c>
      <c r="U12" s="135"/>
      <c r="V12" s="133" t="str">
        <f>IF(T12="Х","Х",IF(U12&lt;3," ",IF($AC12&lt;6," ","Х")))</f>
        <v> </v>
      </c>
      <c r="W12" s="135"/>
      <c r="X12" s="133" t="str">
        <f>IF(V12="А1",$AZ$7,IF(V12="Б2",$AZ$6,IF(V12="Б1",$BA$7,IF(V12="А2",$BA$6,IF(V12="Х","Х",IF(V12&lt;6," "," "))))))</f>
        <v> </v>
      </c>
      <c r="Y12" s="136"/>
      <c r="Z12" s="133" t="str">
        <f>IF(V12="Х","Х",IF(ISBLANK(Y12),"",IF(Y12&gt;2.5," ",IF(B12=BB$6,BB$7,BB$6))))</f>
        <v/>
      </c>
      <c r="AA12" s="136"/>
      <c r="AB12" s="137" t="str">
        <f>IF(H12="Х",F$5,IF(J12="Х",H$5,IF(L12="Х",J$5,IF(N12="Х",L$5,IF(P12="Х",N$5,IF(R12="Х",P$5,IF(T12="Х",R$5,IF(X12="Х",T$5,""))))))))</f>
        <v/>
      </c>
      <c r="AC12" s="138">
        <f>SUM(G12+I12+K12+M12+O12+Q12+S12+U12+Y12+AA12)</f>
        <v>0</v>
      </c>
      <c r="AD12" s="139" t="str">
        <f>AF12</f>
        <v>1-54</v>
      </c>
      <c r="AE12" s="140" t="str">
        <f>AD12</f>
        <v>1-54</v>
      </c>
      <c r="AF12" s="141" t="str">
        <f>COUNTIF(AG$6:AG$148,"&gt;"&amp;AG$6:AG$148)+1&amp;REPT("-"&amp;COUNTIF(AG$6:AG$148,"&gt;="&amp;AG$6:AG$148),COUNTIF(AG$6:AG$148,AG12)&gt;1)</f>
        <v>1-54</v>
      </c>
      <c r="AG12" s="142">
        <f>(AR12*100)+(AP12*10)-AC12</f>
        <v>1280</v>
      </c>
      <c r="AH12" s="143" t="str">
        <f>IF(OR(F12="Х",F12="св")," ",IF(AND(G12&gt;=0,G12&lt;3),"1"," "))</f>
        <v>1</v>
      </c>
      <c r="AI12" s="90" t="str">
        <f>IF(OR(H12="Х",H12="св")," ",IF(AND(I12&gt;=0,I12&lt;3),"1"," "))</f>
        <v>1</v>
      </c>
      <c r="AJ12" s="90" t="str">
        <f>IF(OR(J12="Х",J12="св")," ",IF(AND(K12&gt;=0,K12&lt;3),"1"," "))</f>
        <v>1</v>
      </c>
      <c r="AK12" s="90" t="str">
        <f>IF(OR(L12="Х",L12="св")," ",IF(AND(M12&gt;=0,M12&lt;3),"1"," "))</f>
        <v>1</v>
      </c>
      <c r="AL12" s="90" t="str">
        <f>IF(OR(N12="Х",N12="св")," ",IF(AND(O12&gt;=0,O12&lt;3),"1"," "))</f>
        <v>1</v>
      </c>
      <c r="AM12" s="90" t="str">
        <f>IF(OR(P12="Х",P12="св")," ",IF(AND(Q12&gt;=0,Q12&lt;3),"1"," "))</f>
        <v>1</v>
      </c>
      <c r="AN12" s="90" t="str">
        <f>IF(OR(R12="Х",R12="св")," ",IF(AND(S12&gt;=0,S12&lt;3),"1"," "))</f>
        <v>1</v>
      </c>
      <c r="AO12" s="90" t="str">
        <f>IF(OR(T12="Х",T12="св")," ",IF(AND(U12&gt;=0,U12&lt;3),"1"," "))</f>
        <v>1</v>
      </c>
      <c r="AP12" s="90">
        <f>COUNTIF(AH12:AO13,1)</f>
        <v>8</v>
      </c>
      <c r="AQ12" s="90">
        <f>AG12-AC12</f>
        <v>1280</v>
      </c>
      <c r="AR12" s="144">
        <f>IF(F12=0,0,IF(F12="Х",1,IF(H12="Х",2,IF(J12="Х",3,IF(L12="Х",4,IF(N12="Х",5,IF(P12="Х",6,IF(R12="Х",7,IF(T12="Х",8,IF(V12="Х",9,IF(Y12&gt;2.5,10,IF(AA12&gt;2.5,11,IF(AA12&gt;=0,12,IF(AA12=" ",0,))))))))))))))</f>
        <v>12</v>
      </c>
      <c r="AS12" s="90" t="str">
        <f>COUNTIF(AG$6:AG$134,"&gt;"&amp;AG$6:AG$134)+1&amp;REPT("-"&amp;COUNTIF(AG$6:AG$134,"&gt;="&amp;AG$6:AG$134),COUNTIF(AG$6:AG$134,AG12)&gt;1)</f>
        <v>1-54</v>
      </c>
      <c r="AT12" s="143" t="str">
        <f t="shared" ref="AT12:AW12" si="7">COUNTIF(AU$6:AU$134,"&gt;"&amp;AU$6:AU$134)+1&amp;REPT("-"&amp;COUNTIF(AU$6:AU$134,"&gt;="&amp;AU$6:AU$134),COUNTIF(AU$6:AU$134,AU12)&gt;1)</f>
        <v>1-64</v>
      </c>
      <c r="AU12" s="143" t="str">
        <f t="shared" si="7"/>
        <v>1-0</v>
      </c>
      <c r="AV12" s="143" t="str">
        <f t="shared" si="7"/>
        <v>1</v>
      </c>
      <c r="AW12" s="143" t="str">
        <f t="shared" si="7"/>
        <v>61</v>
      </c>
      <c r="AX12" s="145">
        <f>IF(X12="Х","Х",IF(Y12&lt;3,B12,"Х"))</f>
        <v>4</v>
      </c>
      <c r="AY12" s="222">
        <v>2.0</v>
      </c>
      <c r="AZ12" s="152"/>
      <c r="BA12" s="222">
        <v>2.0</v>
      </c>
      <c r="BB12" s="223"/>
      <c r="BC12" s="222">
        <v>2.0</v>
      </c>
      <c r="BD12" s="224">
        <v>2.0</v>
      </c>
      <c r="BE12" s="222">
        <v>2.0</v>
      </c>
      <c r="BF12" s="225">
        <v>3.0</v>
      </c>
      <c r="BG12" s="222">
        <v>2.0</v>
      </c>
      <c r="BH12" s="222">
        <v>2.0</v>
      </c>
      <c r="BI12" s="226"/>
      <c r="BK12" s="226"/>
      <c r="BM12" s="195">
        <v>4.0</v>
      </c>
      <c r="BN12" s="196">
        <v>3.0</v>
      </c>
      <c r="BO12" s="153" t="str">
        <f>IF(BM12&lt;BN12,BM12,"")</f>
        <v/>
      </c>
      <c r="BP12" s="196" t="s">
        <v>362</v>
      </c>
      <c r="BQ12" s="197">
        <f>IFERROR(__xludf.DUMMYFUNCTION("""COMPUTED_VALUE"""),7.0)</f>
        <v>7</v>
      </c>
      <c r="BR12" s="198">
        <v>4.0</v>
      </c>
      <c r="BS12" s="196">
        <v>2.0</v>
      </c>
      <c r="BT12" s="175" t="str">
        <f>IF(BR12&lt;BS12,BR12,"")</f>
        <v/>
      </c>
      <c r="BU12" s="196" t="s">
        <v>362</v>
      </c>
      <c r="BV12" s="196">
        <f>IFERROR(__xludf.DUMMYFUNCTION("""COMPUTED_VALUE"""),6.0)</f>
        <v>6</v>
      </c>
      <c r="BW12" s="199">
        <v>4.0</v>
      </c>
      <c r="BX12" s="74" t="s">
        <v>361</v>
      </c>
      <c r="BY12" s="160">
        <f t="array" ref="BY12">IF(BW12&lt;BX12,BW12,"")</f>
        <v>4</v>
      </c>
      <c r="BZ12" s="160">
        <f t="shared" si="3"/>
        <v>4</v>
      </c>
      <c r="CA12" s="74">
        <f>IFERROR(__xludf.DUMMYFUNCTION("""COMPUTED_VALUE"""),7.0)</f>
        <v>7</v>
      </c>
      <c r="CB12" s="74">
        <f t="shared" si="4"/>
        <v>7</v>
      </c>
      <c r="CC12" s="74"/>
      <c r="CD12" s="179"/>
      <c r="CE12" s="200">
        <v>4.0</v>
      </c>
      <c r="CF12" s="25" t="s">
        <v>361</v>
      </c>
      <c r="CG12" s="153">
        <f t="array" ref="CG12">IF(CE12&lt;CF12,CE12,"")</f>
        <v>4</v>
      </c>
      <c r="CH12" s="74">
        <v>4.0</v>
      </c>
      <c r="CI12" s="182">
        <f>IFERROR(__xludf.DUMMYFUNCTION("""COMPUTED_VALUE"""),7.0)</f>
        <v>7</v>
      </c>
      <c r="CJ12" s="93">
        <v>4.0</v>
      </c>
      <c r="CK12" s="201" t="s">
        <v>361</v>
      </c>
      <c r="CL12" s="153">
        <f t="array" ref="CL12">IF(CJ12&lt;CK12,CJ12,"")</f>
        <v>4</v>
      </c>
      <c r="CM12" s="52">
        <v>4.0</v>
      </c>
      <c r="CN12" s="52">
        <f>IFERROR(__xludf.DUMMYFUNCTION("""COMPUTED_VALUE"""),7.0)</f>
        <v>7</v>
      </c>
      <c r="CO12" s="196">
        <v>4.0</v>
      </c>
      <c r="CP12" s="202" t="s">
        <v>361</v>
      </c>
      <c r="CQ12" s="153">
        <f t="array" ref="CQ12">IF(CO12&lt;CP12,CO12,"")</f>
        <v>4</v>
      </c>
      <c r="CR12" s="75">
        <v>4.0</v>
      </c>
      <c r="CS12" s="75">
        <f>IFERROR(__xludf.DUMMYFUNCTION("""COMPUTED_VALUE"""),7.0)</f>
        <v>7</v>
      </c>
      <c r="CT12" s="202">
        <v>4.0</v>
      </c>
      <c r="CU12" s="196" t="s">
        <v>361</v>
      </c>
      <c r="CV12" s="153">
        <f t="array" ref="CV12">IF(CT12&lt;CU12,CT12,"")</f>
        <v>4</v>
      </c>
      <c r="CW12" s="52">
        <v>4.0</v>
      </c>
      <c r="CX12" s="52">
        <f>IFERROR(__xludf.DUMMYFUNCTION("""COMPUTED_VALUE"""),7.0)</f>
        <v>7</v>
      </c>
      <c r="CY12" s="202">
        <v>4.0</v>
      </c>
      <c r="CZ12" s="196" t="s">
        <v>361</v>
      </c>
      <c r="DA12" s="153">
        <f t="array" ref="DA12">IF(CY12&lt;CZ12,CY12,"")</f>
        <v>4</v>
      </c>
      <c r="DB12" s="52">
        <v>4.0</v>
      </c>
      <c r="DC12" s="52">
        <f>IFERROR(__xludf.DUMMYFUNCTION("""COMPUTED_VALUE"""),7.0)</f>
        <v>7</v>
      </c>
      <c r="DD12" s="52">
        <v>4.0</v>
      </c>
      <c r="DE12" s="52"/>
      <c r="DF12" s="52"/>
      <c r="DG12" s="52"/>
      <c r="DH12" s="52"/>
    </row>
    <row r="13" ht="13.5" customHeight="1">
      <c r="A13" s="208"/>
      <c r="B13" s="165"/>
      <c r="C13" s="165"/>
      <c r="D13" s="165"/>
      <c r="E13" s="165"/>
      <c r="F13" s="166"/>
      <c r="G13" s="167"/>
      <c r="H13" s="168"/>
      <c r="I13" s="167"/>
      <c r="J13" s="168"/>
      <c r="K13" s="167"/>
      <c r="L13" s="168"/>
      <c r="M13" s="167"/>
      <c r="N13" s="168"/>
      <c r="O13" s="167"/>
      <c r="P13" s="168"/>
      <c r="Q13" s="167"/>
      <c r="R13" s="168"/>
      <c r="S13" s="167"/>
      <c r="T13" s="168"/>
      <c r="U13" s="169"/>
      <c r="V13" s="168"/>
      <c r="W13" s="169"/>
      <c r="X13" s="168"/>
      <c r="Y13" s="167"/>
      <c r="Z13" s="168"/>
      <c r="AA13" s="167"/>
      <c r="AB13" s="166"/>
      <c r="AC13" s="165"/>
      <c r="AD13" s="168"/>
      <c r="AE13" s="170"/>
      <c r="AF13" s="171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Y13" s="227">
        <v>3.0</v>
      </c>
      <c r="AZ13" s="152"/>
      <c r="BA13" s="228">
        <v>3.0</v>
      </c>
      <c r="BB13" s="223"/>
      <c r="BC13" s="227">
        <v>3.0</v>
      </c>
      <c r="BD13" s="224">
        <v>3.0</v>
      </c>
      <c r="BE13" s="227">
        <v>3.0</v>
      </c>
      <c r="BF13" s="225">
        <v>2.0</v>
      </c>
      <c r="BG13" s="227">
        <v>3.0</v>
      </c>
      <c r="BH13" s="227">
        <v>3.0</v>
      </c>
      <c r="BI13" s="229"/>
      <c r="BJ13" s="230"/>
      <c r="BK13" s="231"/>
      <c r="BL13" s="232"/>
      <c r="BM13" s="178"/>
      <c r="BO13" s="175" t="str">
        <f>IF(BO12="","",BN12)</f>
        <v/>
      </c>
      <c r="BP13" s="175" t="s">
        <v>362</v>
      </c>
      <c r="BQ13" s="197">
        <f>IFERROR(__xludf.DUMMYFUNCTION("""COMPUTED_VALUE"""),8.0)</f>
        <v>8</v>
      </c>
      <c r="BT13" s="175" t="str">
        <f>IF(BT12="","",BS12)</f>
        <v/>
      </c>
      <c r="BU13" s="175" t="s">
        <v>362</v>
      </c>
      <c r="BV13" s="196">
        <f>IFERROR(__xludf.DUMMYFUNCTION("""COMPUTED_VALUE"""),8.0)</f>
        <v>8</v>
      </c>
      <c r="BW13" s="178"/>
      <c r="BY13" s="160" t="str">
        <f>IF(BY12="","",BX12)</f>
        <v> </v>
      </c>
      <c r="BZ13" s="160" t="str">
        <f t="shared" si="3"/>
        <v> </v>
      </c>
      <c r="CA13" s="74">
        <f>IFERROR(__xludf.DUMMYFUNCTION("""COMPUTED_VALUE"""),8.0)</f>
        <v>8</v>
      </c>
      <c r="CB13" s="74">
        <f t="shared" si="4"/>
        <v>8</v>
      </c>
      <c r="CC13" s="74"/>
      <c r="CD13" s="179"/>
      <c r="CG13" s="180" t="str">
        <f>IF(CG12="","",CF12)</f>
        <v> </v>
      </c>
      <c r="CH13" s="200" t="s">
        <v>361</v>
      </c>
      <c r="CI13" s="182">
        <f>IFERROR(__xludf.DUMMYFUNCTION("""COMPUTED_VALUE"""),8.0)</f>
        <v>8</v>
      </c>
      <c r="CJ13" s="49" t="s">
        <v>362</v>
      </c>
      <c r="CK13" s="207"/>
      <c r="CL13" s="180" t="str">
        <f>IF(CL12="","",CK12)</f>
        <v> </v>
      </c>
      <c r="CM13" s="52" t="s">
        <v>361</v>
      </c>
      <c r="CN13" s="52">
        <f>IFERROR(__xludf.DUMMYFUNCTION("""COMPUTED_VALUE"""),8.0)</f>
        <v>8</v>
      </c>
      <c r="CQ13" s="180" t="str">
        <f>IF(CQ12="","",CP12)</f>
        <v> </v>
      </c>
      <c r="CR13" s="52" t="s">
        <v>361</v>
      </c>
      <c r="CS13" s="75">
        <f>IFERROR(__xludf.DUMMYFUNCTION("""COMPUTED_VALUE"""),8.0)</f>
        <v>8</v>
      </c>
      <c r="CV13" s="180" t="str">
        <f>IF(CV12="","",CU12)</f>
        <v> </v>
      </c>
      <c r="CW13" s="52" t="s">
        <v>361</v>
      </c>
      <c r="CX13" s="52">
        <f>IFERROR(__xludf.DUMMYFUNCTION("""COMPUTED_VALUE"""),8.0)</f>
        <v>8</v>
      </c>
      <c r="DA13" s="180" t="str">
        <f>IF(DA12="","",CZ12)</f>
        <v> </v>
      </c>
      <c r="DB13" s="52" t="s">
        <v>361</v>
      </c>
      <c r="DC13" s="52">
        <f>IFERROR(__xludf.DUMMYFUNCTION("""COMPUTED_VALUE"""),8.0)</f>
        <v>8</v>
      </c>
      <c r="DD13" s="52" t="s">
        <v>362</v>
      </c>
      <c r="DE13" s="52"/>
      <c r="DF13" s="52"/>
      <c r="DG13" s="52"/>
      <c r="DH13" s="52"/>
    </row>
    <row r="14" ht="13.5" customHeight="1">
      <c r="A14" s="208"/>
      <c r="B14" s="187">
        <v>5.0</v>
      </c>
      <c r="C14" s="188" t="str">
        <f>(VLOOKUP($B14,'Пр.взв'!$D$6:$J$63,2,0))</f>
        <v>ЗАЙЦЕВ  Кирилл </v>
      </c>
      <c r="D14" s="189" t="str">
        <f>(VLOOKUP($B14,'Пр.взв'!$D$6:$J$63,5,0))</f>
        <v>КМС</v>
      </c>
      <c r="E14" s="190" t="str">
        <f>(VLOOKUP($B14,'Пр.взв'!$D$6:$M$63,8,0))</f>
        <v>Красноярский</v>
      </c>
      <c r="F14" s="130">
        <f>B16</f>
        <v>6</v>
      </c>
      <c r="G14" s="131"/>
      <c r="H14" s="132">
        <v>7.0</v>
      </c>
      <c r="I14" s="131"/>
      <c r="J14" s="133" t="str">
        <f>IF(H14="Х","Х",IF($AC14&lt;6," ","Х"))</f>
        <v> </v>
      </c>
      <c r="K14" s="134"/>
      <c r="L14" s="133" t="str">
        <f>IF(J14="Х","Х",IF(K14&lt;3," ",IF($AC14&lt;6," ","Х")))</f>
        <v> </v>
      </c>
      <c r="M14" s="134"/>
      <c r="N14" s="133" t="str">
        <f>IF(L14="Х","Х",IF(M14&lt;3," ",IF($AC14&lt;6," ","Х")))</f>
        <v> </v>
      </c>
      <c r="O14" s="134"/>
      <c r="P14" s="133" t="str">
        <f>IF(N14="Х","Х",IF(O14&lt;3," ",IF($AC14&lt;6," ","Х")))</f>
        <v> </v>
      </c>
      <c r="Q14" s="134"/>
      <c r="R14" s="133" t="str">
        <f>IF(P14="Х","Х",IF(Q14&lt;3," ",IF($AC14&lt;6," ","Х")))</f>
        <v> </v>
      </c>
      <c r="S14" s="134"/>
      <c r="T14" s="133" t="str">
        <f>IF(R14="Х","Х",IF(S14&lt;3," ",IF($AC14&lt;6," ","Х")))</f>
        <v> </v>
      </c>
      <c r="U14" s="135"/>
      <c r="V14" s="133" t="str">
        <f>IF(T14="Х","Х",IF(U14&lt;3," ",IF($AC14&lt;6," ","Х")))</f>
        <v> </v>
      </c>
      <c r="W14" s="135"/>
      <c r="X14" s="133" t="str">
        <f>IF(V14="А1",$AZ$7,IF(V14="Б2",$AZ$6,IF(V14="Б1",$BA$7,IF(V14="А2",$BA$6,IF(V14="Х","Х",IF(V14&lt;6," "," "))))))</f>
        <v> </v>
      </c>
      <c r="Y14" s="136"/>
      <c r="Z14" s="133" t="str">
        <f>IF(V14="Х","Х",IF(ISBLANK(Y14),"",IF(Y14&gt;2.5," ",IF(B14=BB$6,BB$7,BB$6))))</f>
        <v/>
      </c>
      <c r="AA14" s="136"/>
      <c r="AB14" s="137" t="str">
        <f>IF(H14="Х",F$5,IF(J14="Х",H$5,IF(L14="Х",J$5,IF(N14="Х",L$5,IF(P14="Х",N$5,IF(R14="Х",P$5,IF(T14="Х",R$5,IF(X14="Х",T$5,""))))))))</f>
        <v/>
      </c>
      <c r="AC14" s="138">
        <f>SUM(G14+I14+K14+M14+O14+Q14+S14+U14+Y14+AA14)</f>
        <v>0</v>
      </c>
      <c r="AD14" s="139" t="str">
        <f>AF14</f>
        <v>1-54</v>
      </c>
      <c r="AE14" s="140" t="str">
        <f>AD14</f>
        <v>1-54</v>
      </c>
      <c r="AF14" s="141" t="str">
        <f>COUNTIF(AG$6:AG$148,"&gt;"&amp;AG$6:AG$148)+1&amp;REPT("-"&amp;COUNTIF(AG$6:AG$148,"&gt;="&amp;AG$6:AG$148),COUNTIF(AG$6:AG$148,AG14)&gt;1)</f>
        <v>1-54</v>
      </c>
      <c r="AG14" s="142">
        <f>(AR14*100)+(AP14*10)-AC14</f>
        <v>1280</v>
      </c>
      <c r="AH14" s="143" t="str">
        <f>IF(OR(F14="Х",F14="св")," ",IF(AND(G14&gt;=0,G14&lt;3),"1"," "))</f>
        <v>1</v>
      </c>
      <c r="AI14" s="90" t="str">
        <f>IF(OR(H14="Х",H14="св")," ",IF(AND(I14&gt;=0,I14&lt;3),"1"," "))</f>
        <v>1</v>
      </c>
      <c r="AJ14" s="90" t="str">
        <f>IF(OR(J14="Х",J14="св")," ",IF(AND(K14&gt;=0,K14&lt;3),"1"," "))</f>
        <v>1</v>
      </c>
      <c r="AK14" s="90" t="str">
        <f>IF(OR(L14="Х",L14="св")," ",IF(AND(M14&gt;=0,M14&lt;3),"1"," "))</f>
        <v>1</v>
      </c>
      <c r="AL14" s="90" t="str">
        <f>IF(OR(N14="Х",N14="св")," ",IF(AND(O14&gt;=0,O14&lt;3),"1"," "))</f>
        <v>1</v>
      </c>
      <c r="AM14" s="90" t="str">
        <f>IF(OR(P14="Х",P14="св")," ",IF(AND(Q14&gt;=0,Q14&lt;3),"1"," "))</f>
        <v>1</v>
      </c>
      <c r="AN14" s="90" t="str">
        <f>IF(OR(R14="Х",R14="св")," ",IF(AND(S14&gt;=0,S14&lt;3),"1"," "))</f>
        <v>1</v>
      </c>
      <c r="AO14" s="90" t="str">
        <f>IF(OR(T14="Х",T14="св")," ",IF(AND(U14&gt;=0,U14&lt;3),"1"," "))</f>
        <v>1</v>
      </c>
      <c r="AP14" s="90">
        <f>COUNTIF(AH14:AO15,1)</f>
        <v>8</v>
      </c>
      <c r="AQ14" s="90">
        <f>AG14-AC14</f>
        <v>1280</v>
      </c>
      <c r="AR14" s="144">
        <f>IF(F14=0,0,IF(F14="Х",1,IF(H14="Х",2,IF(J14="Х",3,IF(L14="Х",4,IF(N14="Х",5,IF(P14="Х",6,IF(R14="Х",7,IF(T14="Х",8,IF(V14="Х",9,IF(Y14&gt;2.5,10,IF(AA14&gt;2.5,11,IF(AA14&gt;=0,12,IF(AA14=" ",0,))))))))))))))</f>
        <v>12</v>
      </c>
      <c r="AS14" s="90" t="str">
        <f>COUNTIF(AG$6:AG$134,"&gt;"&amp;AG$6:AG$134)+1&amp;REPT("-"&amp;COUNTIF(AG$6:AG$134,"&gt;="&amp;AG$6:AG$134),COUNTIF(AG$6:AG$134,AG14)&gt;1)</f>
        <v>1-54</v>
      </c>
      <c r="AT14" s="143" t="str">
        <f t="shared" ref="AT14:AW14" si="8">COUNTIF(AU$6:AU$134,"&gt;"&amp;AU$6:AU$134)+1&amp;REPT("-"&amp;COUNTIF(AU$6:AU$134,"&gt;="&amp;AU$6:AU$134),COUNTIF(AU$6:AU$134,AU14)&gt;1)</f>
        <v>1-64</v>
      </c>
      <c r="AU14" s="143" t="str">
        <f t="shared" si="8"/>
        <v>1-0</v>
      </c>
      <c r="AV14" s="143" t="str">
        <f t="shared" si="8"/>
        <v>1</v>
      </c>
      <c r="AW14" s="143" t="str">
        <f t="shared" si="8"/>
        <v>60</v>
      </c>
      <c r="AX14" s="145">
        <f>IF(X14="Х","Х",IF(Y14&lt;3,B14,"Х"))</f>
        <v>5</v>
      </c>
      <c r="AY14" s="222">
        <v>4.0</v>
      </c>
      <c r="AZ14" s="152"/>
      <c r="BA14" s="222">
        <v>4.0</v>
      </c>
      <c r="BB14" s="223"/>
      <c r="BC14" s="222">
        <v>4.0</v>
      </c>
      <c r="BD14" s="224">
        <v>4.0</v>
      </c>
      <c r="BE14" s="222">
        <v>4.0</v>
      </c>
      <c r="BF14" s="225">
        <v>4.0</v>
      </c>
      <c r="BG14" s="222">
        <v>4.0</v>
      </c>
      <c r="BH14" s="222">
        <v>4.0</v>
      </c>
      <c r="BI14" s="229"/>
      <c r="BJ14" s="230"/>
      <c r="BK14" s="231"/>
      <c r="BL14" s="232"/>
      <c r="BM14" s="195">
        <v>5.0</v>
      </c>
      <c r="BN14" s="196">
        <v>6.0</v>
      </c>
      <c r="BO14" s="153">
        <f>IF(BM14&lt;BN14,BM14,"")</f>
        <v>5</v>
      </c>
      <c r="BP14" s="196">
        <v>5.0</v>
      </c>
      <c r="BQ14" s="197">
        <f>IFERROR(__xludf.DUMMYFUNCTION("""COMPUTED_VALUE"""),9.0)</f>
        <v>9</v>
      </c>
      <c r="BR14" s="198">
        <v>5.0</v>
      </c>
      <c r="BS14" s="196">
        <v>7.0</v>
      </c>
      <c r="BT14" s="175">
        <f>IF(BR14&lt;BS14,BR14,"")</f>
        <v>5</v>
      </c>
      <c r="BU14" s="196">
        <v>5.0</v>
      </c>
      <c r="BV14" s="196">
        <f>IFERROR(__xludf.DUMMYFUNCTION("""COMPUTED_VALUE"""),9.0)</f>
        <v>9</v>
      </c>
      <c r="BW14" s="199">
        <v>5.0</v>
      </c>
      <c r="BX14" s="74" t="s">
        <v>361</v>
      </c>
      <c r="BY14" s="160">
        <f t="array" ref="BY14">IF(BW14&lt;BX14,BW14,"")</f>
        <v>5</v>
      </c>
      <c r="BZ14" s="160">
        <f t="shared" si="3"/>
        <v>5</v>
      </c>
      <c r="CA14" s="74">
        <f>IFERROR(__xludf.DUMMYFUNCTION("""COMPUTED_VALUE"""),9.0)</f>
        <v>9</v>
      </c>
      <c r="CB14" s="74">
        <f t="shared" si="4"/>
        <v>9</v>
      </c>
      <c r="CC14" s="74"/>
      <c r="CD14" s="179"/>
      <c r="CE14" s="200">
        <v>5.0</v>
      </c>
      <c r="CF14" s="25" t="s">
        <v>361</v>
      </c>
      <c r="CG14" s="153">
        <f t="array" ref="CG14">IF(CE14&lt;CF14,CE14,"")</f>
        <v>5</v>
      </c>
      <c r="CH14" s="74">
        <v>5.0</v>
      </c>
      <c r="CI14" s="182">
        <f>IFERROR(__xludf.DUMMYFUNCTION("""COMPUTED_VALUE"""),9.0)</f>
        <v>9</v>
      </c>
      <c r="CJ14" s="93">
        <v>5.0</v>
      </c>
      <c r="CK14" s="201" t="s">
        <v>361</v>
      </c>
      <c r="CL14" s="153">
        <f t="array" ref="CL14">IF(CJ14&lt;CK14,CJ14,"")</f>
        <v>5</v>
      </c>
      <c r="CM14" s="52">
        <v>5.0</v>
      </c>
      <c r="CN14" s="52">
        <f>IFERROR(__xludf.DUMMYFUNCTION("""COMPUTED_VALUE"""),9.0)</f>
        <v>9</v>
      </c>
      <c r="CO14" s="196">
        <v>5.0</v>
      </c>
      <c r="CP14" s="202" t="s">
        <v>361</v>
      </c>
      <c r="CQ14" s="153">
        <f t="array" ref="CQ14">IF(CO14&lt;CP14,CO14,"")</f>
        <v>5</v>
      </c>
      <c r="CR14" s="75">
        <v>5.0</v>
      </c>
      <c r="CS14" s="75">
        <f>IFERROR(__xludf.DUMMYFUNCTION("""COMPUTED_VALUE"""),9.0)</f>
        <v>9</v>
      </c>
      <c r="CT14" s="202">
        <v>5.0</v>
      </c>
      <c r="CU14" s="196" t="s">
        <v>361</v>
      </c>
      <c r="CV14" s="153">
        <f t="array" ref="CV14">IF(CT14&lt;CU14,CT14,"")</f>
        <v>5</v>
      </c>
      <c r="CW14" s="52">
        <v>5.0</v>
      </c>
      <c r="CX14" s="52">
        <f>IFERROR(__xludf.DUMMYFUNCTION("""COMPUTED_VALUE"""),9.0)</f>
        <v>9</v>
      </c>
      <c r="CY14" s="202">
        <v>5.0</v>
      </c>
      <c r="CZ14" s="196" t="s">
        <v>361</v>
      </c>
      <c r="DA14" s="153">
        <f t="array" ref="DA14">IF(CY14&lt;CZ14,CY14,"")</f>
        <v>5</v>
      </c>
      <c r="DB14" s="52">
        <v>5.0</v>
      </c>
      <c r="DC14" s="52">
        <f>IFERROR(__xludf.DUMMYFUNCTION("""COMPUTED_VALUE"""),9.0)</f>
        <v>9</v>
      </c>
      <c r="DD14" s="52">
        <v>5.0</v>
      </c>
      <c r="DE14" s="52"/>
      <c r="DF14" s="52"/>
      <c r="DG14" s="52"/>
      <c r="DH14" s="52"/>
    </row>
    <row r="15" ht="13.5" customHeight="1">
      <c r="A15" s="208"/>
      <c r="B15" s="165"/>
      <c r="C15" s="165"/>
      <c r="D15" s="165"/>
      <c r="E15" s="165"/>
      <c r="F15" s="166"/>
      <c r="G15" s="167"/>
      <c r="H15" s="168"/>
      <c r="I15" s="167"/>
      <c r="J15" s="168"/>
      <c r="K15" s="167"/>
      <c r="L15" s="168"/>
      <c r="M15" s="167"/>
      <c r="N15" s="168"/>
      <c r="O15" s="167"/>
      <c r="P15" s="168"/>
      <c r="Q15" s="167"/>
      <c r="R15" s="168"/>
      <c r="S15" s="167"/>
      <c r="T15" s="168"/>
      <c r="U15" s="169"/>
      <c r="V15" s="168"/>
      <c r="W15" s="169"/>
      <c r="X15" s="168"/>
      <c r="Y15" s="167"/>
      <c r="Z15" s="168"/>
      <c r="AA15" s="167"/>
      <c r="AB15" s="166"/>
      <c r="AC15" s="165"/>
      <c r="AD15" s="168"/>
      <c r="AE15" s="170"/>
      <c r="AF15" s="171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Y15" s="227">
        <v>5.0</v>
      </c>
      <c r="AZ15" s="152"/>
      <c r="BA15" s="228">
        <v>5.0</v>
      </c>
      <c r="BB15" s="223"/>
      <c r="BC15" s="227">
        <v>5.0</v>
      </c>
      <c r="BD15" s="224">
        <v>5.0</v>
      </c>
      <c r="BE15" s="227">
        <v>5.0</v>
      </c>
      <c r="BF15" s="225">
        <v>5.0</v>
      </c>
      <c r="BG15" s="227">
        <v>5.0</v>
      </c>
      <c r="BH15" s="227">
        <v>5.0</v>
      </c>
      <c r="BI15" s="229"/>
      <c r="BJ15" s="230"/>
      <c r="BK15" s="231"/>
      <c r="BL15" s="232"/>
      <c r="BM15" s="178"/>
      <c r="BO15" s="175">
        <f>IF(BO14="","",BN14)</f>
        <v>6</v>
      </c>
      <c r="BP15" s="175">
        <v>6.0</v>
      </c>
      <c r="BQ15" s="197">
        <f>IFERROR(__xludf.DUMMYFUNCTION("""COMPUTED_VALUE"""),10.0)</f>
        <v>10</v>
      </c>
      <c r="BT15" s="175">
        <f>IF(BT14="","",BS14)</f>
        <v>7</v>
      </c>
      <c r="BU15" s="175">
        <v>7.0</v>
      </c>
      <c r="BV15" s="196">
        <f>IFERROR(__xludf.DUMMYFUNCTION("""COMPUTED_VALUE"""),11.0)</f>
        <v>11</v>
      </c>
      <c r="BW15" s="178"/>
      <c r="BY15" s="160" t="str">
        <f>IF(BY14="","",BX14)</f>
        <v> </v>
      </c>
      <c r="BZ15" s="160" t="str">
        <f t="shared" si="3"/>
        <v> </v>
      </c>
      <c r="CA15" s="74">
        <f>IFERROR(__xludf.DUMMYFUNCTION("""COMPUTED_VALUE"""),10.0)</f>
        <v>10</v>
      </c>
      <c r="CB15" s="74">
        <f t="shared" si="4"/>
        <v>10</v>
      </c>
      <c r="CC15" s="74"/>
      <c r="CD15" s="179"/>
      <c r="CG15" s="180" t="str">
        <f>IF(CG14="","",CF14)</f>
        <v> </v>
      </c>
      <c r="CH15" s="200" t="s">
        <v>361</v>
      </c>
      <c r="CI15" s="182">
        <f>IFERROR(__xludf.DUMMYFUNCTION("""COMPUTED_VALUE"""),10.0)</f>
        <v>10</v>
      </c>
      <c r="CJ15" s="49" t="s">
        <v>362</v>
      </c>
      <c r="CK15" s="207"/>
      <c r="CL15" s="180" t="str">
        <f>IF(CL14="","",CK14)</f>
        <v> </v>
      </c>
      <c r="CM15" s="52" t="s">
        <v>361</v>
      </c>
      <c r="CN15" s="52">
        <f>IFERROR(__xludf.DUMMYFUNCTION("""COMPUTED_VALUE"""),10.0)</f>
        <v>10</v>
      </c>
      <c r="CQ15" s="180" t="str">
        <f>IF(CQ14="","",CP14)</f>
        <v> </v>
      </c>
      <c r="CR15" s="52" t="s">
        <v>361</v>
      </c>
      <c r="CS15" s="75">
        <f>IFERROR(__xludf.DUMMYFUNCTION("""COMPUTED_VALUE"""),10.0)</f>
        <v>10</v>
      </c>
      <c r="CV15" s="180" t="str">
        <f>IF(CV14="","",CU14)</f>
        <v> </v>
      </c>
      <c r="CW15" s="52" t="s">
        <v>361</v>
      </c>
      <c r="CX15" s="52">
        <f>IFERROR(__xludf.DUMMYFUNCTION("""COMPUTED_VALUE"""),10.0)</f>
        <v>10</v>
      </c>
      <c r="DA15" s="180" t="str">
        <f>IF(DA14="","",CZ14)</f>
        <v> </v>
      </c>
      <c r="DB15" s="52" t="s">
        <v>361</v>
      </c>
      <c r="DC15" s="52">
        <f>IFERROR(__xludf.DUMMYFUNCTION("""COMPUTED_VALUE"""),10.0)</f>
        <v>10</v>
      </c>
      <c r="DD15" s="52" t="s">
        <v>362</v>
      </c>
      <c r="DE15" s="52"/>
      <c r="DF15" s="52"/>
      <c r="DG15" s="52"/>
      <c r="DH15" s="52"/>
    </row>
    <row r="16" ht="13.5" customHeight="1">
      <c r="A16" s="208"/>
      <c r="B16" s="187">
        <v>6.0</v>
      </c>
      <c r="C16" s="188" t="str">
        <f>(VLOOKUP($B16,'Пр.взв'!$D$6:$J$63,2,0))</f>
        <v>САМОСУДОВ  Руслан </v>
      </c>
      <c r="D16" s="189" t="str">
        <f>(VLOOKUP($B16,'Пр.взв'!$D$6:$J$63,5,0))</f>
        <v>КМС</v>
      </c>
      <c r="E16" s="190" t="str">
        <f>(VLOOKUP($B16,'Пр.взв'!$D$6:$M$63,8,0))</f>
        <v>Калининградская</v>
      </c>
      <c r="F16" s="130">
        <f>B14</f>
        <v>5</v>
      </c>
      <c r="G16" s="131"/>
      <c r="H16" s="132">
        <v>8.0</v>
      </c>
      <c r="I16" s="131"/>
      <c r="J16" s="133" t="str">
        <f>IF(H16="Х","Х",IF($AC16&lt;6," ","Х"))</f>
        <v> </v>
      </c>
      <c r="K16" s="134"/>
      <c r="L16" s="133" t="str">
        <f>IF(J16="Х","Х",IF(K16&lt;3," ",IF($AC16&lt;6," ","Х")))</f>
        <v> </v>
      </c>
      <c r="M16" s="134"/>
      <c r="N16" s="133" t="str">
        <f>IF(L16="Х","Х",IF(M16&lt;3," ",IF($AC16&lt;6," ","Х")))</f>
        <v> </v>
      </c>
      <c r="O16" s="134"/>
      <c r="P16" s="133" t="str">
        <f>IF(N16="Х","Х",IF(O16&lt;3," ",IF($AC16&lt;6," ","Х")))</f>
        <v> </v>
      </c>
      <c r="Q16" s="134"/>
      <c r="R16" s="133" t="str">
        <f>IF(P16="Х","Х",IF(Q16&lt;3," ",IF($AC16&lt;6," ","Х")))</f>
        <v> </v>
      </c>
      <c r="S16" s="134"/>
      <c r="T16" s="133" t="str">
        <f>IF(R16="Х","Х",IF(S16&lt;3," ",IF($AC16&lt;6," ","Х")))</f>
        <v> </v>
      </c>
      <c r="U16" s="135"/>
      <c r="V16" s="133" t="str">
        <f>IF(T16="Х","Х",IF(U16&lt;3," ",IF($AC16&lt;6," ","Х")))</f>
        <v> </v>
      </c>
      <c r="W16" s="135"/>
      <c r="X16" s="133" t="str">
        <f>IF(V16="А1",$AZ$7,IF(V16="Б2",$AZ$6,IF(V16="Б1",$BA$7,IF(V16="А2",$BA$6,IF(V16="Х","Х",IF(V16&lt;6," "," "))))))</f>
        <v> </v>
      </c>
      <c r="Y16" s="136"/>
      <c r="Z16" s="133" t="str">
        <f>IF(V16="Х","Х",IF(ISBLANK(Y16),"",IF(Y16&gt;2.5," ",IF(B16=BB$6,BB$7,BB$6))))</f>
        <v/>
      </c>
      <c r="AA16" s="136"/>
      <c r="AB16" s="137" t="str">
        <f>IF(H16="Х",F$5,IF(J16="Х",H$5,IF(L16="Х",J$5,IF(N16="Х",L$5,IF(P16="Х",N$5,IF(R16="Х",P$5,IF(T16="Х",R$5,IF(X16="Х",T$5,""))))))))</f>
        <v/>
      </c>
      <c r="AC16" s="138">
        <f>SUM(G16+I16+K16+M16+O16+Q16+S16+U16+Y16+AA16)</f>
        <v>0</v>
      </c>
      <c r="AD16" s="139" t="str">
        <f>AF16</f>
        <v>1-54</v>
      </c>
      <c r="AE16" s="140" t="str">
        <f>AD16</f>
        <v>1-54</v>
      </c>
      <c r="AF16" s="141" t="str">
        <f>COUNTIF(AG$6:AG$148,"&gt;"&amp;AG$6:AG$148)+1&amp;REPT("-"&amp;COUNTIF(AG$6:AG$148,"&gt;="&amp;AG$6:AG$148),COUNTIF(AG$6:AG$148,AG16)&gt;1)</f>
        <v>1-54</v>
      </c>
      <c r="AG16" s="142">
        <f>(AR16*100)+(AP16*10)-AC16</f>
        <v>1280</v>
      </c>
      <c r="AH16" s="143" t="str">
        <f>IF(OR(F16="Х",F16="св")," ",IF(AND(G16&gt;=0,G16&lt;3),"1"," "))</f>
        <v>1</v>
      </c>
      <c r="AI16" s="90" t="str">
        <f>IF(OR(H16="Х",H16="св")," ",IF(AND(I16&gt;=0,I16&lt;3),"1"," "))</f>
        <v>1</v>
      </c>
      <c r="AJ16" s="90" t="str">
        <f>IF(OR(J16="Х",J16="св")," ",IF(AND(K16&gt;=0,K16&lt;3),"1"," "))</f>
        <v>1</v>
      </c>
      <c r="AK16" s="90" t="str">
        <f>IF(OR(L16="Х",L16="св")," ",IF(AND(M16&gt;=0,M16&lt;3),"1"," "))</f>
        <v>1</v>
      </c>
      <c r="AL16" s="90" t="str">
        <f>IF(OR(N16="Х",N16="св")," ",IF(AND(O16&gt;=0,O16&lt;3),"1"," "))</f>
        <v>1</v>
      </c>
      <c r="AM16" s="90" t="str">
        <f>IF(OR(P16="Х",P16="св")," ",IF(AND(Q16&gt;=0,Q16&lt;3),"1"," "))</f>
        <v>1</v>
      </c>
      <c r="AN16" s="90" t="str">
        <f>IF(OR(R16="Х",R16="св")," ",IF(AND(S16&gt;=0,S16&lt;3),"1"," "))</f>
        <v>1</v>
      </c>
      <c r="AO16" s="90" t="str">
        <f>IF(OR(T16="Х",T16="св")," ",IF(AND(U16&gt;=0,U16&lt;3),"1"," "))</f>
        <v>1</v>
      </c>
      <c r="AP16" s="90">
        <f>COUNTIF(AH16:AO17,1)</f>
        <v>8</v>
      </c>
      <c r="AQ16" s="90">
        <f>AG16-AC16</f>
        <v>1280</v>
      </c>
      <c r="AR16" s="144">
        <f>IF(F16=0,0,IF(F16="Х",1,IF(H16="Х",2,IF(J16="Х",3,IF(L16="Х",4,IF(N16="Х",5,IF(P16="Х",6,IF(R16="Х",7,IF(T16="Х",8,IF(V16="Х",9,IF(Y16&gt;2.5,10,IF(AA16&gt;2.5,11,IF(AA16&gt;=0,12,IF(AA16=" ",0,))))))))))))))</f>
        <v>12</v>
      </c>
      <c r="AS16" s="90" t="str">
        <f>COUNTIF(AG$6:AG$134,"&gt;"&amp;AG$6:AG$134)+1&amp;REPT("-"&amp;COUNTIF(AG$6:AG$134,"&gt;="&amp;AG$6:AG$134),COUNTIF(AG$6:AG$134,AG16)&gt;1)</f>
        <v>1-54</v>
      </c>
      <c r="AT16" s="143" t="str">
        <f t="shared" ref="AT16:AW16" si="9">COUNTIF(AU$6:AU$134,"&gt;"&amp;AU$6:AU$134)+1&amp;REPT("-"&amp;COUNTIF(AU$6:AU$134,"&gt;="&amp;AU$6:AU$134),COUNTIF(AU$6:AU$134,AU16)&gt;1)</f>
        <v>1-64</v>
      </c>
      <c r="AU16" s="143" t="str">
        <f t="shared" si="9"/>
        <v>1-0</v>
      </c>
      <c r="AV16" s="143" t="str">
        <f t="shared" si="9"/>
        <v>1</v>
      </c>
      <c r="AW16" s="143" t="str">
        <f t="shared" si="9"/>
        <v>59</v>
      </c>
      <c r="AX16" s="145">
        <f>IF(X16="Х","Х",IF(Y16&lt;3,B16,"Х"))</f>
        <v>6</v>
      </c>
      <c r="AY16" s="222">
        <v>6.0</v>
      </c>
      <c r="AZ16" s="152"/>
      <c r="BA16" s="222">
        <v>6.0</v>
      </c>
      <c r="BB16" s="223"/>
      <c r="BC16" s="222">
        <v>6.0</v>
      </c>
      <c r="BD16" s="225">
        <v>6.0</v>
      </c>
      <c r="BE16" s="222">
        <v>6.0</v>
      </c>
      <c r="BF16" s="225">
        <v>7.0</v>
      </c>
      <c r="BG16" s="222">
        <v>6.0</v>
      </c>
      <c r="BH16" s="222">
        <v>6.0</v>
      </c>
      <c r="BI16" s="229"/>
      <c r="BJ16" s="230"/>
      <c r="BK16" s="231"/>
      <c r="BL16" s="232"/>
      <c r="BM16" s="195">
        <v>6.0</v>
      </c>
      <c r="BN16" s="196">
        <v>5.0</v>
      </c>
      <c r="BO16" s="153" t="str">
        <f>IF(BM16&lt;BN16,BM16,"")</f>
        <v/>
      </c>
      <c r="BP16" s="196" t="s">
        <v>362</v>
      </c>
      <c r="BQ16" s="197">
        <f>IFERROR(__xludf.DUMMYFUNCTION("""COMPUTED_VALUE"""),11.0)</f>
        <v>11</v>
      </c>
      <c r="BR16" s="198">
        <v>6.0</v>
      </c>
      <c r="BS16" s="196">
        <v>8.0</v>
      </c>
      <c r="BT16" s="175">
        <f>IF(BR16&lt;BS16,BR16,"")</f>
        <v>6</v>
      </c>
      <c r="BU16" s="196">
        <v>6.0</v>
      </c>
      <c r="BV16" s="196">
        <f>IFERROR(__xludf.DUMMYFUNCTION("""COMPUTED_VALUE"""),10.0)</f>
        <v>10</v>
      </c>
      <c r="BW16" s="199">
        <v>6.0</v>
      </c>
      <c r="BX16" s="74" t="s">
        <v>361</v>
      </c>
      <c r="BY16" s="160">
        <f t="array" ref="BY16">IF(BW16&lt;BX16,BW16,"")</f>
        <v>6</v>
      </c>
      <c r="BZ16" s="160">
        <f t="shared" si="3"/>
        <v>6</v>
      </c>
      <c r="CA16" s="74">
        <f>IFERROR(__xludf.DUMMYFUNCTION("""COMPUTED_VALUE"""),11.0)</f>
        <v>11</v>
      </c>
      <c r="CB16" s="74">
        <f t="shared" si="4"/>
        <v>11</v>
      </c>
      <c r="CC16" s="74"/>
      <c r="CD16" s="179"/>
      <c r="CE16" s="200">
        <v>6.0</v>
      </c>
      <c r="CF16" s="25" t="s">
        <v>361</v>
      </c>
      <c r="CG16" s="153">
        <f t="array" ref="CG16">IF(CE16&lt;CF16,CE16,"")</f>
        <v>6</v>
      </c>
      <c r="CH16" s="74">
        <v>6.0</v>
      </c>
      <c r="CI16" s="182">
        <f>IFERROR(__xludf.DUMMYFUNCTION("""COMPUTED_VALUE"""),11.0)</f>
        <v>11</v>
      </c>
      <c r="CJ16" s="93">
        <v>6.0</v>
      </c>
      <c r="CK16" s="233" t="s">
        <v>361</v>
      </c>
      <c r="CL16" s="153">
        <f t="array" ref="CL16">IF(CJ16&lt;CK16,CJ16,"")</f>
        <v>6</v>
      </c>
      <c r="CM16" s="49">
        <v>6.0</v>
      </c>
      <c r="CN16" s="49">
        <f>IFERROR(__xludf.DUMMYFUNCTION("""COMPUTED_VALUE"""),11.0)</f>
        <v>11</v>
      </c>
      <c r="CO16" s="74">
        <v>6.0</v>
      </c>
      <c r="CP16" s="200" t="s">
        <v>361</v>
      </c>
      <c r="CQ16" s="153">
        <f t="array" ref="CQ16">IF(CO16&lt;CP16,CO16,"")</f>
        <v>6</v>
      </c>
      <c r="CR16" s="93">
        <v>6.0</v>
      </c>
      <c r="CS16" s="234">
        <f>IFERROR(__xludf.DUMMYFUNCTION("""COMPUTED_VALUE"""),11.0)</f>
        <v>11</v>
      </c>
      <c r="CT16" s="200">
        <v>6.0</v>
      </c>
      <c r="CU16" s="74" t="s">
        <v>361</v>
      </c>
      <c r="CV16" s="153">
        <f t="array" ref="CV16">IF(CT16&lt;CU16,CT16,"")</f>
        <v>6</v>
      </c>
      <c r="CW16" s="49">
        <v>6.0</v>
      </c>
      <c r="CX16" s="49">
        <f>IFERROR(__xludf.DUMMYFUNCTION("""COMPUTED_VALUE"""),11.0)</f>
        <v>11</v>
      </c>
      <c r="CY16" s="200">
        <v>6.0</v>
      </c>
      <c r="CZ16" s="74" t="s">
        <v>361</v>
      </c>
      <c r="DA16" s="153">
        <f t="array" ref="DA16">IF(CY16&lt;CZ16,CY16,"")</f>
        <v>6</v>
      </c>
      <c r="DB16" s="49">
        <v>6.0</v>
      </c>
      <c r="DC16" s="49">
        <f>IFERROR(__xludf.DUMMYFUNCTION("""COMPUTED_VALUE"""),11.0)</f>
        <v>11</v>
      </c>
      <c r="DD16" s="49">
        <v>6.0</v>
      </c>
      <c r="DE16" s="49"/>
      <c r="DF16" s="49"/>
      <c r="DG16" s="49"/>
      <c r="DH16" s="49"/>
    </row>
    <row r="17" ht="13.5" customHeight="1">
      <c r="A17" s="208"/>
      <c r="B17" s="165"/>
      <c r="C17" s="165"/>
      <c r="D17" s="165"/>
      <c r="E17" s="165"/>
      <c r="F17" s="166"/>
      <c r="G17" s="167"/>
      <c r="H17" s="168"/>
      <c r="I17" s="167"/>
      <c r="J17" s="168"/>
      <c r="K17" s="167"/>
      <c r="L17" s="168"/>
      <c r="M17" s="167"/>
      <c r="N17" s="168"/>
      <c r="O17" s="167"/>
      <c r="P17" s="168"/>
      <c r="Q17" s="167"/>
      <c r="R17" s="168"/>
      <c r="S17" s="167"/>
      <c r="T17" s="168"/>
      <c r="U17" s="169"/>
      <c r="V17" s="168"/>
      <c r="W17" s="169"/>
      <c r="X17" s="168"/>
      <c r="Y17" s="167"/>
      <c r="Z17" s="168"/>
      <c r="AA17" s="167"/>
      <c r="AB17" s="166"/>
      <c r="AC17" s="165"/>
      <c r="AD17" s="168"/>
      <c r="AE17" s="170"/>
      <c r="AF17" s="171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Y17" s="227">
        <v>7.0</v>
      </c>
      <c r="AZ17" s="152"/>
      <c r="BA17" s="228">
        <v>7.0</v>
      </c>
      <c r="BB17" s="223"/>
      <c r="BC17" s="227">
        <v>7.0</v>
      </c>
      <c r="BD17" s="225">
        <v>7.0</v>
      </c>
      <c r="BE17" s="227">
        <v>7.0</v>
      </c>
      <c r="BF17" s="225">
        <v>6.0</v>
      </c>
      <c r="BG17" s="227">
        <v>7.0</v>
      </c>
      <c r="BH17" s="227">
        <v>7.0</v>
      </c>
      <c r="BI17" s="229"/>
      <c r="BJ17" s="230"/>
      <c r="BK17" s="231"/>
      <c r="BL17" s="232"/>
      <c r="BM17" s="178"/>
      <c r="BO17" s="175" t="str">
        <f>IF(BO16="","",BN16)</f>
        <v/>
      </c>
      <c r="BP17" s="175" t="s">
        <v>362</v>
      </c>
      <c r="BQ17" s="197">
        <f>IFERROR(__xludf.DUMMYFUNCTION("""COMPUTED_VALUE"""),12.0)</f>
        <v>12</v>
      </c>
      <c r="BT17" s="175">
        <f>IF(BT16="","",BS16)</f>
        <v>8</v>
      </c>
      <c r="BU17" s="175">
        <v>8.0</v>
      </c>
      <c r="BV17" s="196">
        <f>IFERROR(__xludf.DUMMYFUNCTION("""COMPUTED_VALUE"""),12.0)</f>
        <v>12</v>
      </c>
      <c r="BW17" s="178"/>
      <c r="BY17" s="160" t="str">
        <f>IF(BY16="","",BX16)</f>
        <v> </v>
      </c>
      <c r="BZ17" s="160" t="str">
        <f t="shared" si="3"/>
        <v> </v>
      </c>
      <c r="CA17" s="74">
        <f>IFERROR(__xludf.DUMMYFUNCTION("""COMPUTED_VALUE"""),12.0)</f>
        <v>12</v>
      </c>
      <c r="CB17" s="74">
        <f t="shared" si="4"/>
        <v>12</v>
      </c>
      <c r="CC17" s="74"/>
      <c r="CD17" s="179"/>
      <c r="CG17" s="180" t="str">
        <f>IF(CG16="","",CF16)</f>
        <v> </v>
      </c>
      <c r="CH17" s="200" t="s">
        <v>361</v>
      </c>
      <c r="CI17" s="182">
        <f>IFERROR(__xludf.DUMMYFUNCTION("""COMPUTED_VALUE"""),12.0)</f>
        <v>12</v>
      </c>
      <c r="CJ17" s="49" t="s">
        <v>362</v>
      </c>
      <c r="CK17" s="235"/>
      <c r="CL17" s="180" t="str">
        <f>IF(CL16="","",CK16)</f>
        <v> </v>
      </c>
      <c r="CM17" s="49" t="s">
        <v>361</v>
      </c>
      <c r="CN17" s="49">
        <f>IFERROR(__xludf.DUMMYFUNCTION("""COMPUTED_VALUE"""),12.0)</f>
        <v>12</v>
      </c>
      <c r="CQ17" s="180" t="str">
        <f>IF(CQ16="","",CP16)</f>
        <v> </v>
      </c>
      <c r="CR17" s="49" t="s">
        <v>361</v>
      </c>
      <c r="CS17" s="234">
        <f>IFERROR(__xludf.DUMMYFUNCTION("""COMPUTED_VALUE"""),12.0)</f>
        <v>12</v>
      </c>
      <c r="CV17" s="180" t="str">
        <f>IF(CV16="","",CU16)</f>
        <v> </v>
      </c>
      <c r="CW17" s="49" t="s">
        <v>361</v>
      </c>
      <c r="CX17" s="49">
        <f>IFERROR(__xludf.DUMMYFUNCTION("""COMPUTED_VALUE"""),12.0)</f>
        <v>12</v>
      </c>
      <c r="DA17" s="180" t="str">
        <f>IF(DA16="","",CZ16)</f>
        <v> </v>
      </c>
      <c r="DB17" s="49" t="s">
        <v>361</v>
      </c>
      <c r="DC17" s="49">
        <f>IFERROR(__xludf.DUMMYFUNCTION("""COMPUTED_VALUE"""),12.0)</f>
        <v>12</v>
      </c>
      <c r="DD17" s="49" t="s">
        <v>362</v>
      </c>
      <c r="DE17" s="49"/>
      <c r="DF17" s="49"/>
      <c r="DG17" s="49"/>
      <c r="DH17" s="49"/>
    </row>
    <row r="18" ht="13.5" customHeight="1">
      <c r="A18" s="208"/>
      <c r="B18" s="187">
        <v>7.0</v>
      </c>
      <c r="C18" s="188" t="str">
        <f>(VLOOKUP($B18,'Пр.взв'!$D$6:$J$63,2,0))</f>
        <v>ЧЕРНОПЯТОВ  Иван </v>
      </c>
      <c r="D18" s="189" t="str">
        <f>(VLOOKUP($B18,'Пр.взв'!$D$6:$J$63,5,0))</f>
        <v>КМС</v>
      </c>
      <c r="E18" s="190" t="str">
        <f>(VLOOKUP($B18,'Пр.взв'!$D$6:$M$63,8,0))</f>
        <v>Тульская</v>
      </c>
      <c r="F18" s="130">
        <f>B20</f>
        <v>8</v>
      </c>
      <c r="G18" s="131"/>
      <c r="H18" s="132">
        <v>5.0</v>
      </c>
      <c r="I18" s="131"/>
      <c r="J18" s="133" t="str">
        <f>IF(H18="Х","Х",IF($AC18&lt;6," ","Х"))</f>
        <v> </v>
      </c>
      <c r="K18" s="134"/>
      <c r="L18" s="133" t="str">
        <f>IF(J18="Х","Х",IF(K18&lt;3," ",IF($AC18&lt;6," ","Х")))</f>
        <v> </v>
      </c>
      <c r="M18" s="134"/>
      <c r="N18" s="133" t="str">
        <f>IF(L18="Х","Х",IF(M18&lt;3," ",IF($AC18&lt;6," ","Х")))</f>
        <v> </v>
      </c>
      <c r="O18" s="134"/>
      <c r="P18" s="133" t="str">
        <f>IF(N18="Х","Х",IF(O18&lt;3," ",IF($AC18&lt;6," ","Х")))</f>
        <v> </v>
      </c>
      <c r="Q18" s="134"/>
      <c r="R18" s="133" t="str">
        <f>IF(P18="Х","Х",IF(Q18&lt;3," ",IF($AC18&lt;6," ","Х")))</f>
        <v> </v>
      </c>
      <c r="S18" s="134"/>
      <c r="T18" s="133" t="str">
        <f>IF(R18="Х","Х",IF(S18&lt;3," ",IF($AC18&lt;6," ","Х")))</f>
        <v> </v>
      </c>
      <c r="U18" s="135"/>
      <c r="V18" s="133" t="str">
        <f>IF(T18="Х","Х",IF(U18&lt;3," ",IF($AC18&lt;6," ","Х")))</f>
        <v> </v>
      </c>
      <c r="W18" s="135"/>
      <c r="X18" s="133" t="str">
        <f>IF(V18="А1",$AZ$7,IF(V18="Б2",$AZ$6,IF(V18="Б1",$BA$7,IF(V18="А2",$BA$6,IF(V18="Х","Х",IF(V18&lt;6," "," "))))))</f>
        <v> </v>
      </c>
      <c r="Y18" s="136"/>
      <c r="Z18" s="133" t="str">
        <f>IF(V18="Х","Х",IF(ISBLANK(Y18),"",IF(Y18&gt;2.5," ",IF(B18=BB$6,BB$7,BB$6))))</f>
        <v/>
      </c>
      <c r="AA18" s="136"/>
      <c r="AB18" s="137" t="str">
        <f>IF(H18="Х",F$5,IF(J18="Х",H$5,IF(L18="Х",J$5,IF(N18="Х",L$5,IF(P18="Х",N$5,IF(R18="Х",P$5,IF(T18="Х",R$5,IF(X18="Х",T$5,""))))))))</f>
        <v/>
      </c>
      <c r="AC18" s="138">
        <f>SUM(G18+I18+K18+M18+O18+Q18+S18+U18+Y18+AA18)</f>
        <v>0</v>
      </c>
      <c r="AD18" s="139" t="str">
        <f>AF18</f>
        <v>1-54</v>
      </c>
      <c r="AE18" s="140" t="str">
        <f>AD18</f>
        <v>1-54</v>
      </c>
      <c r="AF18" s="141" t="str">
        <f>COUNTIF(AG$6:AG$148,"&gt;"&amp;AG$6:AG$148)+1&amp;REPT("-"&amp;COUNTIF(AG$6:AG$148,"&gt;="&amp;AG$6:AG$148),COUNTIF(AG$6:AG$148,AG18)&gt;1)</f>
        <v>1-54</v>
      </c>
      <c r="AG18" s="142">
        <f>(AR18*100)+(AP18*10)-AC18</f>
        <v>1280</v>
      </c>
      <c r="AH18" s="143" t="str">
        <f>IF(OR(F18="Х",F18="св")," ",IF(AND(G18&gt;=0,G18&lt;3),"1"," "))</f>
        <v>1</v>
      </c>
      <c r="AI18" s="90" t="str">
        <f>IF(OR(H18="Х",H18="св")," ",IF(AND(I18&gt;=0,I18&lt;3),"1"," "))</f>
        <v>1</v>
      </c>
      <c r="AJ18" s="90" t="str">
        <f>IF(OR(J18="Х",J18="св")," ",IF(AND(K18&gt;=0,K18&lt;3),"1"," "))</f>
        <v>1</v>
      </c>
      <c r="AK18" s="90" t="str">
        <f>IF(OR(L18="Х",L18="св")," ",IF(AND(M18&gt;=0,M18&lt;3),"1"," "))</f>
        <v>1</v>
      </c>
      <c r="AL18" s="90" t="str">
        <f>IF(OR(N18="Х",N18="св")," ",IF(AND(O18&gt;=0,O18&lt;3),"1"," "))</f>
        <v>1</v>
      </c>
      <c r="AM18" s="90" t="str">
        <f>IF(OR(P18="Х",P18="св")," ",IF(AND(Q18&gt;=0,Q18&lt;3),"1"," "))</f>
        <v>1</v>
      </c>
      <c r="AN18" s="90" t="str">
        <f>IF(OR(R18="Х",R18="св")," ",IF(AND(S18&gt;=0,S18&lt;3),"1"," "))</f>
        <v>1</v>
      </c>
      <c r="AO18" s="90" t="str">
        <f>IF(OR(T18="Х",T18="св")," ",IF(AND(U18&gt;=0,U18&lt;3),"1"," "))</f>
        <v>1</v>
      </c>
      <c r="AP18" s="90">
        <f>COUNTIF(AH18:AO19,1)</f>
        <v>8</v>
      </c>
      <c r="AQ18" s="90">
        <f>AG18-AC18</f>
        <v>1280</v>
      </c>
      <c r="AR18" s="144">
        <f>IF(F18=0,0,IF(F18="Х",1,IF(H18="Х",2,IF(J18="Х",3,IF(L18="Х",4,IF(N18="Х",5,IF(P18="Х",6,IF(R18="Х",7,IF(T18="Х",8,IF(V18="Х",9,IF(Y18&gt;2.5,10,IF(AA18&gt;2.5,11,IF(AA18&gt;=0,12,IF(AA18=" ",0,))))))))))))))</f>
        <v>12</v>
      </c>
      <c r="AS18" s="90" t="str">
        <f>COUNTIF(AG$6:AG$134,"&gt;"&amp;AG$6:AG$134)+1&amp;REPT("-"&amp;COUNTIF(AG$6:AG$134,"&gt;="&amp;AG$6:AG$134),COUNTIF(AG$6:AG$134,AG18)&gt;1)</f>
        <v>1-54</v>
      </c>
      <c r="AT18" s="143" t="str">
        <f t="shared" ref="AT18:AW18" si="10">COUNTIF(AU$6:AU$134,"&gt;"&amp;AU$6:AU$134)+1&amp;REPT("-"&amp;COUNTIF(AU$6:AU$134,"&gt;="&amp;AU$6:AU$134),COUNTIF(AU$6:AU$134,AU18)&gt;1)</f>
        <v>1-64</v>
      </c>
      <c r="AU18" s="143" t="str">
        <f t="shared" si="10"/>
        <v>1-0</v>
      </c>
      <c r="AV18" s="143" t="str">
        <f t="shared" si="10"/>
        <v>1</v>
      </c>
      <c r="AW18" s="143" t="str">
        <f t="shared" si="10"/>
        <v>58</v>
      </c>
      <c r="AX18" s="145">
        <f>IF(X18="Х","Х",IF(Y18&lt;3,B18,"Х"))</f>
        <v>7</v>
      </c>
      <c r="AY18" s="222">
        <v>8.0</v>
      </c>
      <c r="AZ18" s="152"/>
      <c r="BA18" s="222">
        <v>8.0</v>
      </c>
      <c r="BB18" s="223"/>
      <c r="BC18" s="222">
        <v>8.0</v>
      </c>
      <c r="BD18" s="225">
        <v>8.0</v>
      </c>
      <c r="BE18" s="222">
        <v>8.0</v>
      </c>
      <c r="BF18" s="225">
        <v>8.0</v>
      </c>
      <c r="BG18" s="222">
        <v>8.0</v>
      </c>
      <c r="BH18" s="222">
        <v>8.0</v>
      </c>
      <c r="BI18" s="229"/>
      <c r="BJ18" s="230"/>
      <c r="BK18" s="231"/>
      <c r="BL18" s="232"/>
      <c r="BM18" s="195">
        <v>7.0</v>
      </c>
      <c r="BN18" s="196">
        <v>8.0</v>
      </c>
      <c r="BO18" s="153">
        <f>IF(BM18&lt;BN18,BM18,"")</f>
        <v>7</v>
      </c>
      <c r="BP18" s="196">
        <v>7.0</v>
      </c>
      <c r="BQ18" s="197">
        <f>IFERROR(__xludf.DUMMYFUNCTION("""COMPUTED_VALUE"""),13.0)</f>
        <v>13</v>
      </c>
      <c r="BR18" s="198">
        <v>7.0</v>
      </c>
      <c r="BS18" s="196">
        <v>5.0</v>
      </c>
      <c r="BT18" s="175" t="str">
        <f>IF(BR18&lt;BS18,BR18,"")</f>
        <v/>
      </c>
      <c r="BU18" s="196" t="s">
        <v>362</v>
      </c>
      <c r="BV18" s="196">
        <f>IFERROR(__xludf.DUMMYFUNCTION("""COMPUTED_VALUE"""),13.0)</f>
        <v>13</v>
      </c>
      <c r="BW18" s="199">
        <v>7.0</v>
      </c>
      <c r="BX18" s="74" t="s">
        <v>361</v>
      </c>
      <c r="BY18" s="160">
        <f t="array" ref="BY18">IF(BW18&lt;BX18,BW18,"")</f>
        <v>7</v>
      </c>
      <c r="BZ18" s="160">
        <f t="shared" si="3"/>
        <v>7</v>
      </c>
      <c r="CA18" s="74">
        <f>IFERROR(__xludf.DUMMYFUNCTION("""COMPUTED_VALUE"""),13.0)</f>
        <v>13</v>
      </c>
      <c r="CB18" s="74">
        <f t="shared" si="4"/>
        <v>13</v>
      </c>
      <c r="CC18" s="74"/>
      <c r="CD18" s="179"/>
      <c r="CE18" s="200">
        <v>7.0</v>
      </c>
      <c r="CF18" s="25" t="s">
        <v>361</v>
      </c>
      <c r="CG18" s="153">
        <f t="array" ref="CG18">IF(CE18&lt;CF18,CE18,"")</f>
        <v>7</v>
      </c>
      <c r="CH18" s="74">
        <v>7.0</v>
      </c>
      <c r="CI18" s="182">
        <f>IFERROR(__xludf.DUMMYFUNCTION("""COMPUTED_VALUE"""),13.0)</f>
        <v>13</v>
      </c>
      <c r="CJ18" s="93">
        <v>7.0</v>
      </c>
      <c r="CK18" s="233" t="s">
        <v>361</v>
      </c>
      <c r="CL18" s="153">
        <f t="array" ref="CL18">IF(CJ18&lt;CK18,CJ18,"")</f>
        <v>7</v>
      </c>
      <c r="CM18" s="49">
        <v>7.0</v>
      </c>
      <c r="CN18" s="49">
        <f>IFERROR(__xludf.DUMMYFUNCTION("""COMPUTED_VALUE"""),13.0)</f>
        <v>13</v>
      </c>
      <c r="CO18" s="74">
        <v>7.0</v>
      </c>
      <c r="CP18" s="200" t="s">
        <v>361</v>
      </c>
      <c r="CQ18" s="153">
        <f t="array" ref="CQ18">IF(CO18&lt;CP18,CO18,"")</f>
        <v>7</v>
      </c>
      <c r="CR18" s="93">
        <v>7.0</v>
      </c>
      <c r="CS18" s="234">
        <f>IFERROR(__xludf.DUMMYFUNCTION("""COMPUTED_VALUE"""),13.0)</f>
        <v>13</v>
      </c>
      <c r="CT18" s="200">
        <v>7.0</v>
      </c>
      <c r="CU18" s="74" t="s">
        <v>361</v>
      </c>
      <c r="CV18" s="153">
        <f t="array" ref="CV18">IF(CT18&lt;CU18,CT18,"")</f>
        <v>7</v>
      </c>
      <c r="CW18" s="49">
        <v>7.0</v>
      </c>
      <c r="CX18" s="49">
        <f>IFERROR(__xludf.DUMMYFUNCTION("""COMPUTED_VALUE"""),13.0)</f>
        <v>13</v>
      </c>
      <c r="CY18" s="200">
        <v>7.0</v>
      </c>
      <c r="CZ18" s="74" t="s">
        <v>361</v>
      </c>
      <c r="DA18" s="153">
        <f t="array" ref="DA18">IF(CY18&lt;CZ18,CY18,"")</f>
        <v>7</v>
      </c>
      <c r="DB18" s="49">
        <v>7.0</v>
      </c>
      <c r="DC18" s="49">
        <f>IFERROR(__xludf.DUMMYFUNCTION("""COMPUTED_VALUE"""),13.0)</f>
        <v>13</v>
      </c>
      <c r="DD18" s="49">
        <v>7.0</v>
      </c>
      <c r="DE18" s="49"/>
      <c r="DF18" s="49"/>
      <c r="DG18" s="49"/>
      <c r="DH18" s="49"/>
    </row>
    <row r="19" ht="13.5" customHeight="1">
      <c r="A19" s="208"/>
      <c r="B19" s="165"/>
      <c r="C19" s="165"/>
      <c r="D19" s="165"/>
      <c r="E19" s="165"/>
      <c r="F19" s="166"/>
      <c r="G19" s="167"/>
      <c r="H19" s="168"/>
      <c r="I19" s="167"/>
      <c r="J19" s="168"/>
      <c r="K19" s="167"/>
      <c r="L19" s="168"/>
      <c r="M19" s="167"/>
      <c r="N19" s="168"/>
      <c r="O19" s="167"/>
      <c r="P19" s="168"/>
      <c r="Q19" s="167"/>
      <c r="R19" s="168"/>
      <c r="S19" s="167"/>
      <c r="T19" s="168"/>
      <c r="U19" s="169"/>
      <c r="V19" s="168"/>
      <c r="W19" s="169"/>
      <c r="X19" s="168"/>
      <c r="Y19" s="167"/>
      <c r="Z19" s="168"/>
      <c r="AA19" s="167"/>
      <c r="AB19" s="166"/>
      <c r="AC19" s="165"/>
      <c r="AD19" s="168"/>
      <c r="AE19" s="170"/>
      <c r="AF19" s="171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Y19" s="227">
        <v>9.0</v>
      </c>
      <c r="AZ19" s="152"/>
      <c r="BA19" s="228">
        <v>9.0</v>
      </c>
      <c r="BB19" s="223"/>
      <c r="BC19" s="227">
        <v>9.0</v>
      </c>
      <c r="BD19" s="225">
        <v>9.0</v>
      </c>
      <c r="BE19" s="227">
        <v>9.0</v>
      </c>
      <c r="BF19" s="225">
        <v>9.0</v>
      </c>
      <c r="BG19" s="227">
        <v>9.0</v>
      </c>
      <c r="BH19" s="227">
        <v>9.0</v>
      </c>
      <c r="BI19" s="229"/>
      <c r="BJ19" s="230"/>
      <c r="BK19" s="231"/>
      <c r="BL19" s="232"/>
      <c r="BM19" s="178"/>
      <c r="BO19" s="175">
        <f>IF(BO18="","",BN18)</f>
        <v>8</v>
      </c>
      <c r="BP19" s="175">
        <v>8.0</v>
      </c>
      <c r="BQ19" s="197">
        <f>IFERROR(__xludf.DUMMYFUNCTION("""COMPUTED_VALUE"""),14.0)</f>
        <v>14</v>
      </c>
      <c r="BT19" s="175" t="str">
        <f>IF(BT18="","",BS18)</f>
        <v/>
      </c>
      <c r="BU19" s="175" t="s">
        <v>362</v>
      </c>
      <c r="BV19" s="196">
        <f>IFERROR(__xludf.DUMMYFUNCTION("""COMPUTED_VALUE"""),15.0)</f>
        <v>15</v>
      </c>
      <c r="BW19" s="178"/>
      <c r="BY19" s="160" t="str">
        <f>IF(BY18="","",BX18)</f>
        <v> </v>
      </c>
      <c r="BZ19" s="160" t="str">
        <f t="shared" si="3"/>
        <v> </v>
      </c>
      <c r="CA19" s="74">
        <f>IFERROR(__xludf.DUMMYFUNCTION("""COMPUTED_VALUE"""),14.0)</f>
        <v>14</v>
      </c>
      <c r="CB19" s="74">
        <f t="shared" si="4"/>
        <v>14</v>
      </c>
      <c r="CC19" s="74"/>
      <c r="CD19" s="179"/>
      <c r="CG19" s="180" t="str">
        <f>IF(CG18="","",CF18)</f>
        <v> </v>
      </c>
      <c r="CH19" s="200" t="s">
        <v>361</v>
      </c>
      <c r="CI19" s="182">
        <f>IFERROR(__xludf.DUMMYFUNCTION("""COMPUTED_VALUE"""),14.0)</f>
        <v>14</v>
      </c>
      <c r="CJ19" s="49" t="s">
        <v>362</v>
      </c>
      <c r="CK19" s="235"/>
      <c r="CL19" s="180" t="str">
        <f>IF(CL18="","",CK18)</f>
        <v> </v>
      </c>
      <c r="CM19" s="49" t="s">
        <v>361</v>
      </c>
      <c r="CN19" s="49">
        <f>IFERROR(__xludf.DUMMYFUNCTION("""COMPUTED_VALUE"""),14.0)</f>
        <v>14</v>
      </c>
      <c r="CQ19" s="180" t="str">
        <f>IF(CQ18="","",CP18)</f>
        <v> </v>
      </c>
      <c r="CR19" s="49" t="s">
        <v>361</v>
      </c>
      <c r="CS19" s="234">
        <f>IFERROR(__xludf.DUMMYFUNCTION("""COMPUTED_VALUE"""),14.0)</f>
        <v>14</v>
      </c>
      <c r="CV19" s="180" t="str">
        <f>IF(CV18="","",CU18)</f>
        <v> </v>
      </c>
      <c r="CW19" s="49" t="s">
        <v>361</v>
      </c>
      <c r="CX19" s="49">
        <f>IFERROR(__xludf.DUMMYFUNCTION("""COMPUTED_VALUE"""),14.0)</f>
        <v>14</v>
      </c>
      <c r="DA19" s="180" t="str">
        <f>IF(DA18="","",CZ18)</f>
        <v> </v>
      </c>
      <c r="DB19" s="49" t="s">
        <v>361</v>
      </c>
      <c r="DC19" s="49">
        <f>IFERROR(__xludf.DUMMYFUNCTION("""COMPUTED_VALUE"""),14.0)</f>
        <v>14</v>
      </c>
      <c r="DD19" s="49" t="s">
        <v>362</v>
      </c>
      <c r="DE19" s="49"/>
      <c r="DF19" s="49"/>
      <c r="DG19" s="49"/>
      <c r="DH19" s="49"/>
    </row>
    <row r="20" ht="13.5" customHeight="1">
      <c r="A20" s="208"/>
      <c r="B20" s="187">
        <v>8.0</v>
      </c>
      <c r="C20" s="188" t="str">
        <f>(VLOOKUP($B20,'Пр.взв'!$D$6:$J$63,2,0))</f>
        <v>ОСИПОВ Дмитрий</v>
      </c>
      <c r="D20" s="189" t="str">
        <f>(VLOOKUP($B20,'Пр.взв'!$D$6:$J$63,5,0))</f>
        <v>КМС</v>
      </c>
      <c r="E20" s="190" t="str">
        <f>(VLOOKUP($B20,'Пр.взв'!$D$6:$M$63,8,0))</f>
        <v>Москва</v>
      </c>
      <c r="F20" s="130">
        <f>B18</f>
        <v>7</v>
      </c>
      <c r="G20" s="131"/>
      <c r="H20" s="132">
        <v>6.0</v>
      </c>
      <c r="I20" s="131"/>
      <c r="J20" s="133" t="str">
        <f>IF(H20="Х","Х",IF($AC20&lt;6," ","Х"))</f>
        <v> </v>
      </c>
      <c r="K20" s="134"/>
      <c r="L20" s="133" t="str">
        <f>IF(J20="Х","Х",IF(K20&lt;3," ",IF($AC20&lt;6," ","Х")))</f>
        <v> </v>
      </c>
      <c r="M20" s="134"/>
      <c r="N20" s="133" t="str">
        <f>IF(L20="Х","Х",IF(M20&lt;3," ",IF($AC20&lt;6," ","Х")))</f>
        <v> </v>
      </c>
      <c r="O20" s="134"/>
      <c r="P20" s="133" t="str">
        <f>IF(N20="Х","Х",IF(O20&lt;3," ",IF($AC20&lt;6," ","Х")))</f>
        <v> </v>
      </c>
      <c r="Q20" s="134"/>
      <c r="R20" s="133" t="str">
        <f>IF(P20="Х","Х",IF(Q20&lt;3," ",IF($AC20&lt;6," ","Х")))</f>
        <v> </v>
      </c>
      <c r="S20" s="134"/>
      <c r="T20" s="133" t="str">
        <f>IF(R20="Х","Х",IF(S20&lt;3," ",IF($AC20&lt;6," ","Х")))</f>
        <v> </v>
      </c>
      <c r="U20" s="135"/>
      <c r="V20" s="133" t="str">
        <f>IF(T20="Х","Х",IF(U20&lt;3," ",IF($AC20&lt;6," ","Х")))</f>
        <v> </v>
      </c>
      <c r="W20" s="135"/>
      <c r="X20" s="133" t="str">
        <f>IF(V20="А1",$AZ$7,IF(V20="Б2",$AZ$6,IF(V20="Б1",$BA$7,IF(V20="А2",$BA$6,IF(V20="Х","Х",IF(V20&lt;6," "," "))))))</f>
        <v> </v>
      </c>
      <c r="Y20" s="136"/>
      <c r="Z20" s="133" t="str">
        <f>IF(V20="Х","Х",IF(ISBLANK(Y20),"",IF(Y20&gt;2.5," ",IF(B20=BB$6,BB$7,BB$6))))</f>
        <v/>
      </c>
      <c r="AA20" s="136"/>
      <c r="AB20" s="137" t="str">
        <f>IF(H20="Х",F$5,IF(J20="Х",H$5,IF(L20="Х",J$5,IF(N20="Х",L$5,IF(P20="Х",N$5,IF(R20="Х",P$5,IF(T20="Х",R$5,IF(X20="Х",T$5,""))))))))</f>
        <v/>
      </c>
      <c r="AC20" s="138">
        <f>SUM(G20+I20+K20+M20+O20+Q20+S20+U20+Y20+AA20)</f>
        <v>0</v>
      </c>
      <c r="AD20" s="139" t="str">
        <f>AF20</f>
        <v>1-54</v>
      </c>
      <c r="AE20" s="140" t="str">
        <f>AD20</f>
        <v>1-54</v>
      </c>
      <c r="AF20" s="141" t="str">
        <f>COUNTIF(AG$6:AG$148,"&gt;"&amp;AG$6:AG$148)+1&amp;REPT("-"&amp;COUNTIF(AG$6:AG$148,"&gt;="&amp;AG$6:AG$148),COUNTIF(AG$6:AG$148,AG20)&gt;1)</f>
        <v>1-54</v>
      </c>
      <c r="AG20" s="142">
        <f>(AR20*100)+(AP20*10)-AC20</f>
        <v>1280</v>
      </c>
      <c r="AH20" s="143" t="str">
        <f>IF(OR(F20="Х",F20="св")," ",IF(AND(G20&gt;=0,G20&lt;3),"1"," "))</f>
        <v>1</v>
      </c>
      <c r="AI20" s="90" t="str">
        <f>IF(OR(H20="Х",H20="св")," ",IF(AND(I20&gt;=0,I20&lt;3),"1"," "))</f>
        <v>1</v>
      </c>
      <c r="AJ20" s="90" t="str">
        <f>IF(OR(J20="Х",J20="св")," ",IF(AND(K20&gt;=0,K20&lt;3),"1"," "))</f>
        <v>1</v>
      </c>
      <c r="AK20" s="90" t="str">
        <f>IF(OR(L20="Х",L20="св")," ",IF(AND(M20&gt;=0,M20&lt;3),"1"," "))</f>
        <v>1</v>
      </c>
      <c r="AL20" s="90" t="str">
        <f>IF(OR(N20="Х",N20="св")," ",IF(AND(O20&gt;=0,O20&lt;3),"1"," "))</f>
        <v>1</v>
      </c>
      <c r="AM20" s="90" t="str">
        <f>IF(OR(P20="Х",P20="св")," ",IF(AND(Q20&gt;=0,Q20&lt;3),"1"," "))</f>
        <v>1</v>
      </c>
      <c r="AN20" s="90" t="str">
        <f>IF(OR(R20="Х",R20="св")," ",IF(AND(S20&gt;=0,S20&lt;3),"1"," "))</f>
        <v>1</v>
      </c>
      <c r="AO20" s="90" t="str">
        <f>IF(OR(T20="Х",T20="св")," ",IF(AND(U20&gt;=0,U20&lt;3),"1"," "))</f>
        <v>1</v>
      </c>
      <c r="AP20" s="90">
        <f>COUNTIF(AH20:AO21,1)</f>
        <v>8</v>
      </c>
      <c r="AQ20" s="90">
        <f>AG20-AC20</f>
        <v>1280</v>
      </c>
      <c r="AR20" s="144">
        <f>IF(F20=0,0,IF(F20="Х",1,IF(H20="Х",2,IF(J20="Х",3,IF(L20="Х",4,IF(N20="Х",5,IF(P20="Х",6,IF(R20="Х",7,IF(T20="Х",8,IF(V20="Х",9,IF(Y20&gt;2.5,10,IF(AA20&gt;2.5,11,IF(AA20&gt;=0,12,IF(AA20=" ",0,))))))))))))))</f>
        <v>12</v>
      </c>
      <c r="AS20" s="90" t="str">
        <f>COUNTIF(AG$6:AG$134,"&gt;"&amp;AG$6:AG$134)+1&amp;REPT("-"&amp;COUNTIF(AG$6:AG$134,"&gt;="&amp;AG$6:AG$134),COUNTIF(AG$6:AG$134,AG20)&gt;1)</f>
        <v>1-54</v>
      </c>
      <c r="AT20" s="143" t="str">
        <f t="shared" ref="AT20:AW20" si="11">COUNTIF(AU$6:AU$134,"&gt;"&amp;AU$6:AU$134)+1&amp;REPT("-"&amp;COUNTIF(AU$6:AU$134,"&gt;="&amp;AU$6:AU$134),COUNTIF(AU$6:AU$134,AU20)&gt;1)</f>
        <v>1-64</v>
      </c>
      <c r="AU20" s="143" t="str">
        <f t="shared" si="11"/>
        <v>1-0</v>
      </c>
      <c r="AV20" s="143" t="str">
        <f t="shared" si="11"/>
        <v>1</v>
      </c>
      <c r="AW20" s="143" t="str">
        <f t="shared" si="11"/>
        <v>57</v>
      </c>
      <c r="AX20" s="145">
        <f>IF(X20="Х","Х",IF(Y20&lt;3,B20,"Х"))</f>
        <v>8</v>
      </c>
      <c r="AY20" s="222">
        <v>10.0</v>
      </c>
      <c r="AZ20" s="152"/>
      <c r="BA20" s="222">
        <v>10.0</v>
      </c>
      <c r="BB20" s="223"/>
      <c r="BC20" s="222">
        <v>10.0</v>
      </c>
      <c r="BD20" s="225">
        <v>10.0</v>
      </c>
      <c r="BE20" s="222">
        <v>10.0</v>
      </c>
      <c r="BF20" s="224">
        <v>11.0</v>
      </c>
      <c r="BG20" s="222">
        <v>10.0</v>
      </c>
      <c r="BH20" s="222">
        <v>10.0</v>
      </c>
      <c r="BI20" s="229"/>
      <c r="BJ20" s="230"/>
      <c r="BK20" s="236"/>
      <c r="BL20" s="237"/>
      <c r="BM20" s="195">
        <v>8.0</v>
      </c>
      <c r="BN20" s="196">
        <v>7.0</v>
      </c>
      <c r="BO20" s="153" t="str">
        <f>IF(BM20&lt;BN20,BM20,"")</f>
        <v/>
      </c>
      <c r="BP20" s="196" t="s">
        <v>362</v>
      </c>
      <c r="BQ20" s="197">
        <f>IFERROR(__xludf.DUMMYFUNCTION("""COMPUTED_VALUE"""),15.0)</f>
        <v>15</v>
      </c>
      <c r="BR20" s="198">
        <v>8.0</v>
      </c>
      <c r="BS20" s="196">
        <v>6.0</v>
      </c>
      <c r="BT20" s="175" t="str">
        <f>IF(BR20&lt;BS20,BR20,"")</f>
        <v/>
      </c>
      <c r="BU20" s="196" t="s">
        <v>362</v>
      </c>
      <c r="BV20" s="196">
        <f>IFERROR(__xludf.DUMMYFUNCTION("""COMPUTED_VALUE"""),14.0)</f>
        <v>14</v>
      </c>
      <c r="BW20" s="199">
        <v>8.0</v>
      </c>
      <c r="BX20" s="74" t="s">
        <v>361</v>
      </c>
      <c r="BY20" s="160">
        <f t="array" ref="BY20">IF(BW20&lt;BX20,BW20,"")</f>
        <v>8</v>
      </c>
      <c r="BZ20" s="160">
        <f t="shared" si="3"/>
        <v>8</v>
      </c>
      <c r="CA20" s="74">
        <f>IFERROR(__xludf.DUMMYFUNCTION("""COMPUTED_VALUE"""),15.0)</f>
        <v>15</v>
      </c>
      <c r="CB20" s="74">
        <f t="shared" si="4"/>
        <v>15</v>
      </c>
      <c r="CC20" s="74"/>
      <c r="CD20" s="179"/>
      <c r="CE20" s="200">
        <v>8.0</v>
      </c>
      <c r="CF20" s="25" t="s">
        <v>361</v>
      </c>
      <c r="CG20" s="153">
        <f t="array" ref="CG20">IF(CE20&lt;CF20,CE20,"")</f>
        <v>8</v>
      </c>
      <c r="CH20" s="74">
        <v>8.0</v>
      </c>
      <c r="CI20" s="182">
        <f>IFERROR(__xludf.DUMMYFUNCTION("""COMPUTED_VALUE"""),15.0)</f>
        <v>15</v>
      </c>
      <c r="CJ20" s="93">
        <v>8.0</v>
      </c>
      <c r="CK20" s="233" t="s">
        <v>361</v>
      </c>
      <c r="CL20" s="153">
        <f t="array" ref="CL20">IF(CJ20&lt;CK20,CJ20,"")</f>
        <v>8</v>
      </c>
      <c r="CM20" s="49">
        <v>8.0</v>
      </c>
      <c r="CN20" s="49">
        <f>IFERROR(__xludf.DUMMYFUNCTION("""COMPUTED_VALUE"""),15.0)</f>
        <v>15</v>
      </c>
      <c r="CO20" s="74">
        <v>8.0</v>
      </c>
      <c r="CP20" s="200" t="s">
        <v>361</v>
      </c>
      <c r="CQ20" s="153">
        <f t="array" ref="CQ20">IF(CO20&lt;CP20,CO20,"")</f>
        <v>8</v>
      </c>
      <c r="CR20" s="93">
        <v>8.0</v>
      </c>
      <c r="CS20" s="234">
        <f>IFERROR(__xludf.DUMMYFUNCTION("""COMPUTED_VALUE"""),15.0)</f>
        <v>15</v>
      </c>
      <c r="CT20" s="200">
        <v>8.0</v>
      </c>
      <c r="CU20" s="74" t="s">
        <v>361</v>
      </c>
      <c r="CV20" s="153">
        <f t="array" ref="CV20">IF(CT20&lt;CU20,CT20,"")</f>
        <v>8</v>
      </c>
      <c r="CW20" s="49">
        <v>8.0</v>
      </c>
      <c r="CX20" s="49">
        <f>IFERROR(__xludf.DUMMYFUNCTION("""COMPUTED_VALUE"""),15.0)</f>
        <v>15</v>
      </c>
      <c r="CY20" s="200">
        <v>8.0</v>
      </c>
      <c r="CZ20" s="74" t="s">
        <v>361</v>
      </c>
      <c r="DA20" s="153">
        <f t="array" ref="DA20">IF(CY20&lt;CZ20,CY20,"")</f>
        <v>8</v>
      </c>
      <c r="DB20" s="49">
        <v>8.0</v>
      </c>
      <c r="DC20" s="49">
        <f>IFERROR(__xludf.DUMMYFUNCTION("""COMPUTED_VALUE"""),15.0)</f>
        <v>15</v>
      </c>
      <c r="DD20" s="49">
        <v>8.0</v>
      </c>
      <c r="DE20" s="49"/>
      <c r="DF20" s="49"/>
      <c r="DG20" s="49"/>
      <c r="DH20" s="49"/>
    </row>
    <row r="21" ht="13.5" customHeight="1">
      <c r="A21" s="208"/>
      <c r="B21" s="165"/>
      <c r="C21" s="165"/>
      <c r="D21" s="165"/>
      <c r="E21" s="165"/>
      <c r="F21" s="166"/>
      <c r="G21" s="167"/>
      <c r="H21" s="168"/>
      <c r="I21" s="167"/>
      <c r="J21" s="168"/>
      <c r="K21" s="167"/>
      <c r="L21" s="168"/>
      <c r="M21" s="167"/>
      <c r="N21" s="168"/>
      <c r="O21" s="167"/>
      <c r="P21" s="168"/>
      <c r="Q21" s="167"/>
      <c r="R21" s="168"/>
      <c r="S21" s="167"/>
      <c r="T21" s="168"/>
      <c r="U21" s="169"/>
      <c r="V21" s="168"/>
      <c r="W21" s="169"/>
      <c r="X21" s="168"/>
      <c r="Y21" s="167"/>
      <c r="Z21" s="168"/>
      <c r="AA21" s="167"/>
      <c r="AB21" s="166"/>
      <c r="AC21" s="165"/>
      <c r="AD21" s="168"/>
      <c r="AE21" s="170"/>
      <c r="AF21" s="171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Y21" s="227">
        <v>11.0</v>
      </c>
      <c r="AZ21" s="152"/>
      <c r="BA21" s="228">
        <v>11.0</v>
      </c>
      <c r="BB21" s="238"/>
      <c r="BC21" s="227">
        <v>11.0</v>
      </c>
      <c r="BD21" s="225">
        <v>11.0</v>
      </c>
      <c r="BE21" s="227">
        <v>11.0</v>
      </c>
      <c r="BF21" s="224">
        <v>10.0</v>
      </c>
      <c r="BG21" s="227">
        <v>11.0</v>
      </c>
      <c r="BH21" s="227">
        <v>11.0</v>
      </c>
      <c r="BI21" s="229"/>
      <c r="BJ21" s="230"/>
      <c r="BK21" s="236"/>
      <c r="BL21" s="237"/>
      <c r="BM21" s="178"/>
      <c r="BO21" s="175" t="str">
        <f>IF(BO20="","",BN20)</f>
        <v/>
      </c>
      <c r="BP21" s="175" t="s">
        <v>362</v>
      </c>
      <c r="BQ21" s="197">
        <f>IFERROR(__xludf.DUMMYFUNCTION("""COMPUTED_VALUE"""),16.0)</f>
        <v>16</v>
      </c>
      <c r="BT21" s="175" t="str">
        <f>IF(BT20="","",BS20)</f>
        <v/>
      </c>
      <c r="BU21" s="175" t="s">
        <v>362</v>
      </c>
      <c r="BV21" s="196">
        <f>IFERROR(__xludf.DUMMYFUNCTION("""COMPUTED_VALUE"""),16.0)</f>
        <v>16</v>
      </c>
      <c r="BW21" s="178"/>
      <c r="BY21" s="160" t="str">
        <f>IF(BY20="","",BX20)</f>
        <v> </v>
      </c>
      <c r="BZ21" s="160" t="str">
        <f t="shared" si="3"/>
        <v> </v>
      </c>
      <c r="CA21" s="74">
        <f>IFERROR(__xludf.DUMMYFUNCTION("""COMPUTED_VALUE"""),16.0)</f>
        <v>16</v>
      </c>
      <c r="CB21" s="74">
        <f t="shared" si="4"/>
        <v>16</v>
      </c>
      <c r="CC21" s="74"/>
      <c r="CD21" s="179"/>
      <c r="CG21" s="180" t="str">
        <f>IF(CG20="","",CF20)</f>
        <v> </v>
      </c>
      <c r="CH21" s="200" t="s">
        <v>361</v>
      </c>
      <c r="CI21" s="182">
        <f>IFERROR(__xludf.DUMMYFUNCTION("""COMPUTED_VALUE"""),16.0)</f>
        <v>16</v>
      </c>
      <c r="CJ21" s="49" t="s">
        <v>362</v>
      </c>
      <c r="CK21" s="235"/>
      <c r="CL21" s="180" t="str">
        <f>IF(CL20="","",CK20)</f>
        <v> </v>
      </c>
      <c r="CM21" s="49" t="s">
        <v>361</v>
      </c>
      <c r="CN21" s="49">
        <f>IFERROR(__xludf.DUMMYFUNCTION("""COMPUTED_VALUE"""),16.0)</f>
        <v>16</v>
      </c>
      <c r="CQ21" s="180" t="str">
        <f>IF(CQ20="","",CP20)</f>
        <v> </v>
      </c>
      <c r="CR21" s="49" t="s">
        <v>361</v>
      </c>
      <c r="CS21" s="234">
        <f>IFERROR(__xludf.DUMMYFUNCTION("""COMPUTED_VALUE"""),16.0)</f>
        <v>16</v>
      </c>
      <c r="CV21" s="180" t="str">
        <f>IF(CV20="","",CU20)</f>
        <v> </v>
      </c>
      <c r="CW21" s="49" t="s">
        <v>361</v>
      </c>
      <c r="CX21" s="49">
        <f>IFERROR(__xludf.DUMMYFUNCTION("""COMPUTED_VALUE"""),16.0)</f>
        <v>16</v>
      </c>
      <c r="DA21" s="180" t="str">
        <f>IF(DA20="","",CZ20)</f>
        <v> </v>
      </c>
      <c r="DB21" s="49" t="s">
        <v>361</v>
      </c>
      <c r="DC21" s="49">
        <f>IFERROR(__xludf.DUMMYFUNCTION("""COMPUTED_VALUE"""),16.0)</f>
        <v>16</v>
      </c>
      <c r="DD21" s="49" t="s">
        <v>362</v>
      </c>
      <c r="DE21" s="49"/>
      <c r="DF21" s="49"/>
      <c r="DG21" s="49"/>
      <c r="DH21" s="49"/>
    </row>
    <row r="22" ht="13.5" customHeight="1">
      <c r="A22" s="208"/>
      <c r="B22" s="187">
        <v>9.0</v>
      </c>
      <c r="C22" s="188" t="str">
        <f>(VLOOKUP($B22,'Пр.взв'!$D$6:$J$63,2,0))</f>
        <v>ГАДЖИКЕРИМОВ  Ислам</v>
      </c>
      <c r="D22" s="189" t="str">
        <f>(VLOOKUP($B22,'Пр.взв'!$D$6:$J$63,5,0))</f>
        <v>КМС</v>
      </c>
      <c r="E22" s="190" t="str">
        <f>(VLOOKUP($B22,'Пр.взв'!$D$6:$M$63,8,0))</f>
        <v>Р.Дагестан</v>
      </c>
      <c r="F22" s="130">
        <f>B24</f>
        <v>10</v>
      </c>
      <c r="G22" s="131"/>
      <c r="H22" s="132">
        <v>11.0</v>
      </c>
      <c r="I22" s="131"/>
      <c r="J22" s="133" t="str">
        <f>IF(H22="Х","Х",IF($AC22&lt;6," ","Х"))</f>
        <v> </v>
      </c>
      <c r="K22" s="134"/>
      <c r="L22" s="133" t="str">
        <f>IF(J22="Х","Х",IF(K22&lt;3," ",IF($AC22&lt;6," ","Х")))</f>
        <v> </v>
      </c>
      <c r="M22" s="134"/>
      <c r="N22" s="133" t="str">
        <f>IF(L22="Х","Х",IF(M22&lt;3," ",IF($AC22&lt;6," ","Х")))</f>
        <v> </v>
      </c>
      <c r="O22" s="134"/>
      <c r="P22" s="133" t="str">
        <f>IF(N22="Х","Х",IF(O22&lt;3," ",IF($AC22&lt;6," ","Х")))</f>
        <v> </v>
      </c>
      <c r="Q22" s="134"/>
      <c r="R22" s="133" t="str">
        <f>IF(P22="Х","Х",IF(Q22&lt;3," ",IF($AC22&lt;6," ","Х")))</f>
        <v> </v>
      </c>
      <c r="S22" s="134"/>
      <c r="T22" s="133" t="str">
        <f>IF(R22="Х","Х",IF(S22&lt;3," ",IF($AC22&lt;6," ","Х")))</f>
        <v> </v>
      </c>
      <c r="U22" s="135"/>
      <c r="V22" s="133" t="str">
        <f>IF(T22="Х","Х",IF(U22&lt;3," ",IF($AC22&lt;6," ","Х")))</f>
        <v> </v>
      </c>
      <c r="W22" s="135"/>
      <c r="X22" s="133" t="str">
        <f>IF(V22="А1",$AZ$7,IF(V22="Б2",$AZ$6,IF(V22="Б1",$BA$7,IF(V22="А2",$BA$6,IF(V22="Х","Х",IF(V22&lt;6," "," "))))))</f>
        <v> </v>
      </c>
      <c r="Y22" s="136"/>
      <c r="Z22" s="133" t="str">
        <f>IF(V22="Х","Х",IF(ISBLANK(Y22),"",IF(Y22&gt;2.5," ",IF(B22=BB$6,BB$7,BB$6))))</f>
        <v/>
      </c>
      <c r="AA22" s="136"/>
      <c r="AB22" s="137" t="str">
        <f>IF(H22="Х",F$5,IF(J22="Х",H$5,IF(L22="Х",J$5,IF(N22="Х",L$5,IF(P22="Х",N$5,IF(R22="Х",P$5,IF(T22="Х",R$5,IF(X22="Х",T$5,""))))))))</f>
        <v/>
      </c>
      <c r="AC22" s="138">
        <f>SUM(G22+I22+K22+M22+O22+Q22+S22+U22+Y22+AA22)</f>
        <v>0</v>
      </c>
      <c r="AD22" s="139" t="str">
        <f>AF22</f>
        <v>1-54</v>
      </c>
      <c r="AE22" s="140" t="str">
        <f>AD22</f>
        <v>1-54</v>
      </c>
      <c r="AF22" s="141" t="str">
        <f>COUNTIF(AG$6:AG$148,"&gt;"&amp;AG$6:AG$148)+1&amp;REPT("-"&amp;COUNTIF(AG$6:AG$148,"&gt;="&amp;AG$6:AG$148),COUNTIF(AG$6:AG$148,AG22)&gt;1)</f>
        <v>1-54</v>
      </c>
      <c r="AG22" s="142">
        <f>(AR22*100)+(AP22*10)-AC22</f>
        <v>1280</v>
      </c>
      <c r="AH22" s="143" t="str">
        <f>IF(OR(F22="Х",F22="св")," ",IF(AND(G22&gt;=0,G22&lt;3),"1"," "))</f>
        <v>1</v>
      </c>
      <c r="AI22" s="90" t="str">
        <f>IF(OR(H22="Х",H22="св")," ",IF(AND(I22&gt;=0,I22&lt;3),"1"," "))</f>
        <v>1</v>
      </c>
      <c r="AJ22" s="90" t="str">
        <f>IF(OR(J22="Х",J22="св")," ",IF(AND(K22&gt;=0,K22&lt;3),"1"," "))</f>
        <v>1</v>
      </c>
      <c r="AK22" s="90" t="str">
        <f>IF(OR(L22="Х",L22="св")," ",IF(AND(M22&gt;=0,M22&lt;3),"1"," "))</f>
        <v>1</v>
      </c>
      <c r="AL22" s="90" t="str">
        <f>IF(OR(N22="Х",N22="св")," ",IF(AND(O22&gt;=0,O22&lt;3),"1"," "))</f>
        <v>1</v>
      </c>
      <c r="AM22" s="90" t="str">
        <f>IF(OR(P22="Х",P22="св")," ",IF(AND(Q22&gt;=0,Q22&lt;3),"1"," "))</f>
        <v>1</v>
      </c>
      <c r="AN22" s="90" t="str">
        <f>IF(OR(R22="Х",R22="св")," ",IF(AND(S22&gt;=0,S22&lt;3),"1"," "))</f>
        <v>1</v>
      </c>
      <c r="AO22" s="90" t="str">
        <f>IF(OR(T22="Х",T22="св")," ",IF(AND(U22&gt;=0,U22&lt;3),"1"," "))</f>
        <v>1</v>
      </c>
      <c r="AP22" s="90">
        <f>COUNTIF(AH22:AO23,1)</f>
        <v>8</v>
      </c>
      <c r="AQ22" s="90">
        <f>AG22-AC22</f>
        <v>1280</v>
      </c>
      <c r="AR22" s="144">
        <f>IF(F22=0,0,IF(F22="Х",1,IF(H22="Х",2,IF(J22="Х",3,IF(L22="Х",4,IF(N22="Х",5,IF(P22="Х",6,IF(R22="Х",7,IF(T22="Х",8,IF(V22="Х",9,IF(Y22&gt;2.5,10,IF(AA22&gt;2.5,11,IF(AA22&gt;=0,12,IF(AA22=" ",0,))))))))))))))</f>
        <v>12</v>
      </c>
      <c r="AS22" s="90" t="str">
        <f>COUNTIF(AG$6:AG$134,"&gt;"&amp;AG$6:AG$134)+1&amp;REPT("-"&amp;COUNTIF(AG$6:AG$134,"&gt;="&amp;AG$6:AG$134),COUNTIF(AG$6:AG$134,AG22)&gt;1)</f>
        <v>1-54</v>
      </c>
      <c r="AT22" s="143" t="str">
        <f t="shared" ref="AT22:AW22" si="12">COUNTIF(AU$6:AU$134,"&gt;"&amp;AU$6:AU$134)+1&amp;REPT("-"&amp;COUNTIF(AU$6:AU$134,"&gt;="&amp;AU$6:AU$134),COUNTIF(AU$6:AU$134,AU22)&gt;1)</f>
        <v>1-64</v>
      </c>
      <c r="AU22" s="143" t="str">
        <f t="shared" si="12"/>
        <v>1-0</v>
      </c>
      <c r="AV22" s="143" t="str">
        <f t="shared" si="12"/>
        <v>1</v>
      </c>
      <c r="AW22" s="143" t="str">
        <f t="shared" si="12"/>
        <v>56</v>
      </c>
      <c r="AX22" s="145">
        <f>IF(X22="Х","Х",IF(Y22&lt;3,B22,"Х"))</f>
        <v>9</v>
      </c>
      <c r="AY22" s="222">
        <v>12.0</v>
      </c>
      <c r="AZ22" s="152"/>
      <c r="BA22" s="222">
        <v>12.0</v>
      </c>
      <c r="BB22" s="239"/>
      <c r="BC22" s="222">
        <v>12.0</v>
      </c>
      <c r="BD22" s="225">
        <v>12.0</v>
      </c>
      <c r="BE22" s="222">
        <v>12.0</v>
      </c>
      <c r="BF22" s="224">
        <v>12.0</v>
      </c>
      <c r="BG22" s="222">
        <v>12.0</v>
      </c>
      <c r="BH22" s="222">
        <v>12.0</v>
      </c>
      <c r="BI22" s="229"/>
      <c r="BJ22" s="230"/>
      <c r="BK22" s="236"/>
      <c r="BL22" s="237"/>
      <c r="BM22" s="195">
        <v>9.0</v>
      </c>
      <c r="BN22" s="196">
        <v>10.0</v>
      </c>
      <c r="BO22" s="153">
        <f>IF(BM22&lt;BN22,BM22,"")</f>
        <v>9</v>
      </c>
      <c r="BP22" s="196">
        <v>9.0</v>
      </c>
      <c r="BQ22" s="197">
        <f>IFERROR(__xludf.DUMMYFUNCTION("""COMPUTED_VALUE"""),17.0)</f>
        <v>17</v>
      </c>
      <c r="BR22" s="198">
        <v>9.0</v>
      </c>
      <c r="BS22" s="196">
        <v>11.0</v>
      </c>
      <c r="BT22" s="175">
        <f>IF(BR22&lt;BS22,BR22,"")</f>
        <v>9</v>
      </c>
      <c r="BU22" s="196">
        <v>9.0</v>
      </c>
      <c r="BV22" s="196">
        <f>IFERROR(__xludf.DUMMYFUNCTION("""COMPUTED_VALUE"""),17.0)</f>
        <v>17</v>
      </c>
      <c r="BW22" s="199">
        <v>9.0</v>
      </c>
      <c r="BX22" s="74" t="s">
        <v>361</v>
      </c>
      <c r="BY22" s="160">
        <f t="array" ref="BY22">IF(BW22&lt;BX22,BW22,"")</f>
        <v>9</v>
      </c>
      <c r="BZ22" s="160">
        <f t="shared" si="3"/>
        <v>9</v>
      </c>
      <c r="CA22" s="74">
        <f>IFERROR(__xludf.DUMMYFUNCTION("""COMPUTED_VALUE"""),17.0)</f>
        <v>17</v>
      </c>
      <c r="CB22" s="74">
        <f t="shared" si="4"/>
        <v>17</v>
      </c>
      <c r="CC22" s="74"/>
      <c r="CD22" s="179"/>
      <c r="CE22" s="200">
        <v>9.0</v>
      </c>
      <c r="CF22" s="25" t="s">
        <v>361</v>
      </c>
      <c r="CG22" s="153">
        <f t="array" ref="CG22">IF(CE22&lt;CF22,CE22,"")</f>
        <v>9</v>
      </c>
      <c r="CH22" s="74">
        <v>9.0</v>
      </c>
      <c r="CI22" s="182">
        <f>IFERROR(__xludf.DUMMYFUNCTION("""COMPUTED_VALUE"""),17.0)</f>
        <v>17</v>
      </c>
      <c r="CJ22" s="93">
        <v>9.0</v>
      </c>
      <c r="CK22" s="233" t="s">
        <v>361</v>
      </c>
      <c r="CL22" s="153">
        <f t="array" ref="CL22">IF(CJ22&lt;CK22,CJ22,"")</f>
        <v>9</v>
      </c>
      <c r="CM22" s="49">
        <v>9.0</v>
      </c>
      <c r="CN22" s="49">
        <f>IFERROR(__xludf.DUMMYFUNCTION("""COMPUTED_VALUE"""),17.0)</f>
        <v>17</v>
      </c>
      <c r="CO22" s="74">
        <v>9.0</v>
      </c>
      <c r="CP22" s="200" t="s">
        <v>361</v>
      </c>
      <c r="CQ22" s="153">
        <f t="array" ref="CQ22">IF(CO22&lt;CP22,CO22,"")</f>
        <v>9</v>
      </c>
      <c r="CR22" s="93">
        <v>9.0</v>
      </c>
      <c r="CS22" s="234">
        <f>IFERROR(__xludf.DUMMYFUNCTION("""COMPUTED_VALUE"""),17.0)</f>
        <v>17</v>
      </c>
      <c r="CT22" s="200">
        <v>9.0</v>
      </c>
      <c r="CU22" s="74" t="s">
        <v>361</v>
      </c>
      <c r="CV22" s="153">
        <f t="array" ref="CV22">IF(CT22&lt;CU22,CT22,"")</f>
        <v>9</v>
      </c>
      <c r="CW22" s="49">
        <v>9.0</v>
      </c>
      <c r="CX22" s="49">
        <f>IFERROR(__xludf.DUMMYFUNCTION("""COMPUTED_VALUE"""),17.0)</f>
        <v>17</v>
      </c>
      <c r="CY22" s="200">
        <v>9.0</v>
      </c>
      <c r="CZ22" s="74" t="s">
        <v>361</v>
      </c>
      <c r="DA22" s="153">
        <f t="array" ref="DA22">IF(CY22&lt;CZ22,CY22,"")</f>
        <v>9</v>
      </c>
      <c r="DB22" s="49">
        <v>9.0</v>
      </c>
      <c r="DC22" s="49">
        <f>IFERROR(__xludf.DUMMYFUNCTION("""COMPUTED_VALUE"""),17.0)</f>
        <v>17</v>
      </c>
      <c r="DD22" s="49">
        <v>9.0</v>
      </c>
      <c r="DE22" s="49"/>
      <c r="DF22" s="49"/>
      <c r="DG22" s="49"/>
      <c r="DH22" s="49"/>
    </row>
    <row r="23" ht="13.5" customHeight="1">
      <c r="A23" s="208"/>
      <c r="B23" s="165"/>
      <c r="C23" s="165"/>
      <c r="D23" s="165"/>
      <c r="E23" s="165"/>
      <c r="F23" s="166"/>
      <c r="G23" s="167"/>
      <c r="H23" s="168"/>
      <c r="I23" s="167"/>
      <c r="J23" s="168"/>
      <c r="K23" s="167"/>
      <c r="L23" s="168"/>
      <c r="M23" s="167"/>
      <c r="N23" s="168"/>
      <c r="O23" s="167"/>
      <c r="P23" s="168"/>
      <c r="Q23" s="167"/>
      <c r="R23" s="168"/>
      <c r="S23" s="167"/>
      <c r="T23" s="168"/>
      <c r="U23" s="169"/>
      <c r="V23" s="168"/>
      <c r="W23" s="169"/>
      <c r="X23" s="168"/>
      <c r="Y23" s="167"/>
      <c r="Z23" s="168"/>
      <c r="AA23" s="167"/>
      <c r="AB23" s="166"/>
      <c r="AC23" s="165"/>
      <c r="AD23" s="168"/>
      <c r="AE23" s="170"/>
      <c r="AF23" s="171"/>
      <c r="AG23" s="113"/>
      <c r="AH23" s="113"/>
      <c r="AI23" s="113"/>
      <c r="AJ23" s="113"/>
      <c r="AK23" s="113"/>
      <c r="AL23" s="113"/>
      <c r="AM23" s="113"/>
      <c r="AN23" s="113"/>
      <c r="AO23" s="113"/>
      <c r="AP23" s="113"/>
      <c r="AQ23" s="113"/>
      <c r="AR23" s="113"/>
      <c r="AS23" s="113"/>
      <c r="AT23" s="113"/>
      <c r="AU23" s="113"/>
      <c r="AV23" s="113"/>
      <c r="AW23" s="113"/>
      <c r="AY23" s="227">
        <v>13.0</v>
      </c>
      <c r="AZ23" s="152"/>
      <c r="BA23" s="228">
        <v>13.0</v>
      </c>
      <c r="BB23" s="239"/>
      <c r="BC23" s="227">
        <v>13.0</v>
      </c>
      <c r="BD23" s="225">
        <v>13.0</v>
      </c>
      <c r="BE23" s="227">
        <v>13.0</v>
      </c>
      <c r="BF23" s="224">
        <v>13.0</v>
      </c>
      <c r="BG23" s="227">
        <v>13.0</v>
      </c>
      <c r="BH23" s="227">
        <v>13.0</v>
      </c>
      <c r="BI23" s="229"/>
      <c r="BJ23" s="230"/>
      <c r="BK23" s="236"/>
      <c r="BL23" s="237"/>
      <c r="BM23" s="178"/>
      <c r="BO23" s="175">
        <f>IF(BO22="","",BN22)</f>
        <v>10</v>
      </c>
      <c r="BP23" s="175">
        <v>10.0</v>
      </c>
      <c r="BQ23" s="197">
        <f>IFERROR(__xludf.DUMMYFUNCTION("""COMPUTED_VALUE"""),18.0)</f>
        <v>18</v>
      </c>
      <c r="BT23" s="175">
        <f>IF(BT22="","",BS22)</f>
        <v>11</v>
      </c>
      <c r="BU23" s="175">
        <v>11.0</v>
      </c>
      <c r="BV23" s="196">
        <f>IFERROR(__xludf.DUMMYFUNCTION("""COMPUTED_VALUE"""),19.0)</f>
        <v>19</v>
      </c>
      <c r="BW23" s="178"/>
      <c r="BY23" s="160" t="str">
        <f>IF(BY22="","",BX22)</f>
        <v> </v>
      </c>
      <c r="BZ23" s="160" t="str">
        <f t="shared" si="3"/>
        <v> </v>
      </c>
      <c r="CA23" s="74">
        <f>IFERROR(__xludf.DUMMYFUNCTION("""COMPUTED_VALUE"""),18.0)</f>
        <v>18</v>
      </c>
      <c r="CB23" s="74">
        <f t="shared" si="4"/>
        <v>18</v>
      </c>
      <c r="CC23" s="74"/>
      <c r="CD23" s="179"/>
      <c r="CG23" s="180" t="str">
        <f>IF(CG22="","",CF22)</f>
        <v> </v>
      </c>
      <c r="CH23" s="200" t="s">
        <v>361</v>
      </c>
      <c r="CI23" s="182">
        <f>IFERROR(__xludf.DUMMYFUNCTION("""COMPUTED_VALUE"""),18.0)</f>
        <v>18</v>
      </c>
      <c r="CJ23" s="49" t="s">
        <v>362</v>
      </c>
      <c r="CK23" s="235"/>
      <c r="CL23" s="180" t="str">
        <f>IF(CL22="","",CK22)</f>
        <v> </v>
      </c>
      <c r="CM23" s="49" t="s">
        <v>361</v>
      </c>
      <c r="CN23" s="49">
        <f>IFERROR(__xludf.DUMMYFUNCTION("""COMPUTED_VALUE"""),18.0)</f>
        <v>18</v>
      </c>
      <c r="CQ23" s="180" t="str">
        <f>IF(CQ22="","",CP22)</f>
        <v> </v>
      </c>
      <c r="CR23" s="49" t="s">
        <v>361</v>
      </c>
      <c r="CS23" s="234">
        <f>IFERROR(__xludf.DUMMYFUNCTION("""COMPUTED_VALUE"""),18.0)</f>
        <v>18</v>
      </c>
      <c r="CV23" s="180" t="str">
        <f>IF(CV22="","",CU22)</f>
        <v> </v>
      </c>
      <c r="CW23" s="49" t="s">
        <v>361</v>
      </c>
      <c r="CX23" s="49">
        <f>IFERROR(__xludf.DUMMYFUNCTION("""COMPUTED_VALUE"""),18.0)</f>
        <v>18</v>
      </c>
      <c r="DA23" s="180" t="str">
        <f>IF(DA22="","",CZ22)</f>
        <v> </v>
      </c>
      <c r="DB23" s="49" t="s">
        <v>361</v>
      </c>
      <c r="DC23" s="49">
        <f>IFERROR(__xludf.DUMMYFUNCTION("""COMPUTED_VALUE"""),18.0)</f>
        <v>18</v>
      </c>
      <c r="DD23" s="49" t="s">
        <v>362</v>
      </c>
      <c r="DE23" s="49"/>
      <c r="DF23" s="49"/>
      <c r="DG23" s="49"/>
      <c r="DH23" s="49"/>
    </row>
    <row r="24" ht="13.5" customHeight="1">
      <c r="A24" s="208"/>
      <c r="B24" s="187">
        <v>10.0</v>
      </c>
      <c r="C24" s="188" t="str">
        <f>(VLOOKUP($B24,'Пр.взв'!$D$6:$J$63,2,0))</f>
        <v>ЧЕРКАСОВ Данила</v>
      </c>
      <c r="D24" s="189" t="str">
        <f>(VLOOKUP($B24,'Пр.взв'!$D$6:$J$63,5,0))</f>
        <v>КМС</v>
      </c>
      <c r="E24" s="190" t="str">
        <f>(VLOOKUP($B24,'Пр.взв'!$D$6:$M$63,8,0))</f>
        <v>Саратовская</v>
      </c>
      <c r="F24" s="130">
        <f>B22</f>
        <v>9</v>
      </c>
      <c r="G24" s="131"/>
      <c r="H24" s="132">
        <v>12.0</v>
      </c>
      <c r="I24" s="131"/>
      <c r="J24" s="133" t="str">
        <f>IF(H24="Х","Х",IF($AC24&lt;6," ","Х"))</f>
        <v> </v>
      </c>
      <c r="K24" s="134"/>
      <c r="L24" s="133" t="str">
        <f>IF(J24="Х","Х",IF(K24&lt;3," ",IF($AC24&lt;6," ","Х")))</f>
        <v> </v>
      </c>
      <c r="M24" s="134"/>
      <c r="N24" s="133" t="str">
        <f>IF(L24="Х","Х",IF(M24&lt;3," ",IF($AC24&lt;6," ","Х")))</f>
        <v> </v>
      </c>
      <c r="O24" s="134"/>
      <c r="P24" s="133" t="str">
        <f>IF(N24="Х","Х",IF(O24&lt;3," ",IF($AC24&lt;6," ","Х")))</f>
        <v> </v>
      </c>
      <c r="Q24" s="134"/>
      <c r="R24" s="133" t="str">
        <f>IF(P24="Х","Х",IF(Q24&lt;3," ",IF($AC24&lt;6," ","Х")))</f>
        <v> </v>
      </c>
      <c r="S24" s="134"/>
      <c r="T24" s="133" t="str">
        <f>IF(R24="Х","Х",IF(S24&lt;3," ",IF($AC24&lt;6," ","Х")))</f>
        <v> </v>
      </c>
      <c r="U24" s="135"/>
      <c r="V24" s="133" t="str">
        <f>IF(T24="Х","Х",IF(U24&lt;3," ",IF($AC24&lt;6," ","Х")))</f>
        <v> </v>
      </c>
      <c r="W24" s="135"/>
      <c r="X24" s="133" t="str">
        <f>IF(V24="А1",$AZ$7,IF(V24="Б2",$AZ$6,IF(V24="Б1",$BA$7,IF(V24="А2",$BA$6,IF(V24="Х","Х",IF(V24&lt;6," "," "))))))</f>
        <v> </v>
      </c>
      <c r="Y24" s="136"/>
      <c r="Z24" s="133" t="str">
        <f>IF(V24="Х","Х",IF(ISBLANK(Y24),"",IF(Y24&gt;2.5," ",IF(B24=BB$6,BB$7,BB$6))))</f>
        <v/>
      </c>
      <c r="AA24" s="136"/>
      <c r="AB24" s="240" t="str">
        <f>IF(H24="Х",F$5,IF(J24="Х",H$5,IF(L24="Х",J$5,IF(N24="Х",L$5,IF(P24="Х",N$5,IF(R24="Х",P$5,IF(T24="Х",R$5,IF(X24="Х",T$5,""))))))))</f>
        <v/>
      </c>
      <c r="AC24" s="138">
        <f>SUM(G24+I24+K24+M24+O24+Q24+S24+U24+Y24+AA24)</f>
        <v>0</v>
      </c>
      <c r="AD24" s="241" t="str">
        <f>AF24</f>
        <v>1-54</v>
      </c>
      <c r="AE24" s="140" t="str">
        <f>AD24</f>
        <v>1-54</v>
      </c>
      <c r="AF24" s="141" t="str">
        <f>COUNTIF(AG$6:AG$148,"&gt;"&amp;AG$6:AG$148)+1&amp;REPT("-"&amp;COUNTIF(AG$6:AG$148,"&gt;="&amp;AG$6:AG$148),COUNTIF(AG$6:AG$148,AG24)&gt;1)</f>
        <v>1-54</v>
      </c>
      <c r="AG24" s="142">
        <f>(AR24*100)+(AP24*10)-AC24</f>
        <v>1280</v>
      </c>
      <c r="AH24" s="143" t="str">
        <f>IF(OR(F24="Х",F24="св")," ",IF(AND(G24&gt;=0,G24&lt;3),"1"," "))</f>
        <v>1</v>
      </c>
      <c r="AI24" s="90" t="str">
        <f>IF(OR(H24="Х",H24="св")," ",IF(AND(I24&gt;=0,I24&lt;3),"1"," "))</f>
        <v>1</v>
      </c>
      <c r="AJ24" s="90" t="str">
        <f>IF(OR(J24="Х",J24="св")," ",IF(AND(K24&gt;=0,K24&lt;3),"1"," "))</f>
        <v>1</v>
      </c>
      <c r="AK24" s="90" t="str">
        <f>IF(OR(L24="Х",L24="св")," ",IF(AND(M24&gt;=0,M24&lt;3),"1"," "))</f>
        <v>1</v>
      </c>
      <c r="AL24" s="90" t="str">
        <f>IF(OR(N24="Х",N24="св")," ",IF(AND(O24&gt;=0,O24&lt;3),"1"," "))</f>
        <v>1</v>
      </c>
      <c r="AM24" s="90" t="str">
        <f>IF(OR(P24="Х",P24="св")," ",IF(AND(Q24&gt;=0,Q24&lt;3),"1"," "))</f>
        <v>1</v>
      </c>
      <c r="AN24" s="90" t="str">
        <f>IF(OR(R24="Х",R24="св")," ",IF(AND(S24&gt;=0,S24&lt;3),"1"," "))</f>
        <v>1</v>
      </c>
      <c r="AO24" s="90" t="str">
        <f>IF(OR(T24="Х",T24="св")," ",IF(AND(U24&gt;=0,U24&lt;3),"1"," "))</f>
        <v>1</v>
      </c>
      <c r="AP24" s="90">
        <f>COUNTIF(AH24:AO25,1)</f>
        <v>8</v>
      </c>
      <c r="AQ24" s="90">
        <f>AG24-AC24</f>
        <v>1280</v>
      </c>
      <c r="AR24" s="144">
        <f>IF(F24=0,0,IF(F24="Х",1,IF(H24="Х",2,IF(J24="Х",3,IF(L24="Х",4,IF(N24="Х",5,IF(P24="Х",6,IF(R24="Х",7,IF(T24="Х",8,IF(V24="Х",9,IF(Y24&gt;2.5,10,IF(AA24&gt;2.5,11,IF(AA24&gt;=0,12,IF(AA24=" ",0,))))))))))))))</f>
        <v>12</v>
      </c>
      <c r="AS24" s="90" t="str">
        <f>COUNTIF(AG$6:AG$134,"&gt;"&amp;AG$6:AG$134)+1&amp;REPT("-"&amp;COUNTIF(AG$6:AG$134,"&gt;="&amp;AG$6:AG$134),COUNTIF(AG$6:AG$134,AG24)&gt;1)</f>
        <v>1-54</v>
      </c>
      <c r="AT24" s="143" t="str">
        <f t="shared" ref="AT24:AW24" si="13">COUNTIF(AU$6:AU$134,"&gt;"&amp;AU$6:AU$134)+1&amp;REPT("-"&amp;COUNTIF(AU$6:AU$134,"&gt;="&amp;AU$6:AU$134),COUNTIF(AU$6:AU$134,AU24)&gt;1)</f>
        <v>1-64</v>
      </c>
      <c r="AU24" s="143" t="str">
        <f t="shared" si="13"/>
        <v>1-0</v>
      </c>
      <c r="AV24" s="143" t="str">
        <f t="shared" si="13"/>
        <v>1</v>
      </c>
      <c r="AW24" s="143" t="str">
        <f t="shared" si="13"/>
        <v>55</v>
      </c>
      <c r="AX24" s="145">
        <f>IF(X24="Х","Х",IF(Y24&lt;3,B24,"Х"))</f>
        <v>10</v>
      </c>
      <c r="AY24" s="222">
        <v>14.0</v>
      </c>
      <c r="AZ24" s="152"/>
      <c r="BA24" s="222">
        <v>14.0</v>
      </c>
      <c r="BB24" s="239"/>
      <c r="BC24" s="222">
        <v>14.0</v>
      </c>
      <c r="BD24" s="225">
        <v>14.0</v>
      </c>
      <c r="BE24" s="222">
        <v>14.0</v>
      </c>
      <c r="BF24" s="224">
        <v>15.0</v>
      </c>
      <c r="BG24" s="222">
        <v>14.0</v>
      </c>
      <c r="BH24" s="222">
        <v>14.0</v>
      </c>
      <c r="BI24" s="229"/>
      <c r="BJ24" s="230"/>
      <c r="BK24" s="236"/>
      <c r="BL24" s="237"/>
      <c r="BM24" s="195">
        <v>10.0</v>
      </c>
      <c r="BN24" s="196">
        <v>9.0</v>
      </c>
      <c r="BO24" s="153" t="str">
        <f>IF(BM24&lt;BN24,BM24,"")</f>
        <v/>
      </c>
      <c r="BP24" s="196" t="s">
        <v>362</v>
      </c>
      <c r="BQ24" s="197">
        <f>IFERROR(__xludf.DUMMYFUNCTION("""COMPUTED_VALUE"""),19.0)</f>
        <v>19</v>
      </c>
      <c r="BR24" s="198">
        <v>10.0</v>
      </c>
      <c r="BS24" s="196">
        <v>12.0</v>
      </c>
      <c r="BT24" s="175">
        <f>IF(BR24&lt;BS24,BR24,"")</f>
        <v>10</v>
      </c>
      <c r="BU24" s="196">
        <v>10.0</v>
      </c>
      <c r="BV24" s="196">
        <f>IFERROR(__xludf.DUMMYFUNCTION("""COMPUTED_VALUE"""),18.0)</f>
        <v>18</v>
      </c>
      <c r="BW24" s="199">
        <v>10.0</v>
      </c>
      <c r="BX24" s="74" t="s">
        <v>361</v>
      </c>
      <c r="BY24" s="160">
        <f t="array" ref="BY24">IF(BW24&lt;BX24,BW24,"")</f>
        <v>10</v>
      </c>
      <c r="BZ24" s="160">
        <f t="shared" si="3"/>
        <v>10</v>
      </c>
      <c r="CA24" s="74">
        <f>IFERROR(__xludf.DUMMYFUNCTION("""COMPUTED_VALUE"""),19.0)</f>
        <v>19</v>
      </c>
      <c r="CB24" s="74">
        <f t="shared" si="4"/>
        <v>19</v>
      </c>
      <c r="CC24" s="74"/>
      <c r="CD24" s="179"/>
      <c r="CE24" s="200">
        <v>10.0</v>
      </c>
      <c r="CF24" s="25" t="s">
        <v>361</v>
      </c>
      <c r="CG24" s="153">
        <f t="array" ref="CG24">IF(CE24&lt;CF24,CE24,"")</f>
        <v>10</v>
      </c>
      <c r="CH24" s="74">
        <v>10.0</v>
      </c>
      <c r="CI24" s="182">
        <f>IFERROR(__xludf.DUMMYFUNCTION("""COMPUTED_VALUE"""),19.0)</f>
        <v>19</v>
      </c>
      <c r="CJ24" s="93">
        <v>10.0</v>
      </c>
      <c r="CK24" s="233" t="s">
        <v>361</v>
      </c>
      <c r="CL24" s="153">
        <f t="array" ref="CL24">IF(CJ24&lt;CK24,CJ24,"")</f>
        <v>10</v>
      </c>
      <c r="CM24" s="49">
        <v>10.0</v>
      </c>
      <c r="CN24" s="49">
        <f>IFERROR(__xludf.DUMMYFUNCTION("""COMPUTED_VALUE"""),19.0)</f>
        <v>19</v>
      </c>
      <c r="CO24" s="74">
        <v>10.0</v>
      </c>
      <c r="CP24" s="200" t="s">
        <v>361</v>
      </c>
      <c r="CQ24" s="153">
        <f t="array" ref="CQ24">IF(CO24&lt;CP24,CO24,"")</f>
        <v>10</v>
      </c>
      <c r="CR24" s="93">
        <v>10.0</v>
      </c>
      <c r="CS24" s="234">
        <f>IFERROR(__xludf.DUMMYFUNCTION("""COMPUTED_VALUE"""),19.0)</f>
        <v>19</v>
      </c>
      <c r="CT24" s="200">
        <v>10.0</v>
      </c>
      <c r="CU24" s="74" t="s">
        <v>361</v>
      </c>
      <c r="CV24" s="153">
        <f t="array" ref="CV24">IF(CT24&lt;CU24,CT24,"")</f>
        <v>10</v>
      </c>
      <c r="CW24" s="49">
        <v>10.0</v>
      </c>
      <c r="CX24" s="49">
        <f>IFERROR(__xludf.DUMMYFUNCTION("""COMPUTED_VALUE"""),19.0)</f>
        <v>19</v>
      </c>
      <c r="CY24" s="200">
        <v>10.0</v>
      </c>
      <c r="CZ24" s="74" t="s">
        <v>361</v>
      </c>
      <c r="DA24" s="153">
        <f t="array" ref="DA24">IF(CY24&lt;CZ24,CY24,"")</f>
        <v>10</v>
      </c>
      <c r="DB24" s="49">
        <v>10.0</v>
      </c>
      <c r="DC24" s="49">
        <f>IFERROR(__xludf.DUMMYFUNCTION("""COMPUTED_VALUE"""),19.0)</f>
        <v>19</v>
      </c>
      <c r="DD24" s="49">
        <v>10.0</v>
      </c>
      <c r="DE24" s="49"/>
      <c r="DF24" s="49"/>
      <c r="DG24" s="49"/>
      <c r="DH24" s="49"/>
    </row>
    <row r="25" ht="13.5" customHeight="1">
      <c r="A25" s="208"/>
      <c r="B25" s="165"/>
      <c r="C25" s="165"/>
      <c r="D25" s="165"/>
      <c r="E25" s="165"/>
      <c r="F25" s="166"/>
      <c r="G25" s="167"/>
      <c r="H25" s="168"/>
      <c r="I25" s="167"/>
      <c r="J25" s="168"/>
      <c r="K25" s="167"/>
      <c r="L25" s="168"/>
      <c r="M25" s="167"/>
      <c r="N25" s="168"/>
      <c r="O25" s="167"/>
      <c r="P25" s="168"/>
      <c r="Q25" s="167"/>
      <c r="R25" s="168"/>
      <c r="S25" s="167"/>
      <c r="T25" s="168"/>
      <c r="U25" s="169"/>
      <c r="V25" s="168"/>
      <c r="W25" s="169"/>
      <c r="X25" s="168"/>
      <c r="Y25" s="167"/>
      <c r="Z25" s="168"/>
      <c r="AA25" s="167"/>
      <c r="AB25" s="166"/>
      <c r="AC25" s="165"/>
      <c r="AD25" s="168"/>
      <c r="AE25" s="170"/>
      <c r="AF25" s="171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113"/>
      <c r="AT25" s="113"/>
      <c r="AU25" s="113"/>
      <c r="AV25" s="113"/>
      <c r="AW25" s="113"/>
      <c r="AY25" s="227">
        <v>15.0</v>
      </c>
      <c r="AZ25" s="152"/>
      <c r="BA25" s="228">
        <v>15.0</v>
      </c>
      <c r="BB25" s="239"/>
      <c r="BC25" s="227">
        <v>15.0</v>
      </c>
      <c r="BD25" s="225">
        <v>15.0</v>
      </c>
      <c r="BE25" s="227">
        <v>15.0</v>
      </c>
      <c r="BF25" s="224">
        <v>14.0</v>
      </c>
      <c r="BG25" s="227">
        <v>15.0</v>
      </c>
      <c r="BH25" s="227">
        <v>15.0</v>
      </c>
      <c r="BI25" s="229"/>
      <c r="BJ25" s="230"/>
      <c r="BK25" s="236"/>
      <c r="BL25" s="237"/>
      <c r="BM25" s="178"/>
      <c r="BO25" s="175" t="str">
        <f>IF(BO24="","",BN24)</f>
        <v/>
      </c>
      <c r="BP25" s="175" t="s">
        <v>362</v>
      </c>
      <c r="BQ25" s="197">
        <f>IFERROR(__xludf.DUMMYFUNCTION("""COMPUTED_VALUE"""),20.0)</f>
        <v>20</v>
      </c>
      <c r="BT25" s="175">
        <f>IF(BT24="","",BS24)</f>
        <v>12</v>
      </c>
      <c r="BU25" s="175">
        <v>12.0</v>
      </c>
      <c r="BV25" s="196">
        <f>IFERROR(__xludf.DUMMYFUNCTION("""COMPUTED_VALUE"""),20.0)</f>
        <v>20</v>
      </c>
      <c r="BW25" s="178"/>
      <c r="BY25" s="160" t="str">
        <f>IF(BY24="","",BX24)</f>
        <v> </v>
      </c>
      <c r="BZ25" s="160" t="str">
        <f t="shared" si="3"/>
        <v> </v>
      </c>
      <c r="CA25" s="74">
        <f>IFERROR(__xludf.DUMMYFUNCTION("""COMPUTED_VALUE"""),20.0)</f>
        <v>20</v>
      </c>
      <c r="CB25" s="74">
        <f t="shared" si="4"/>
        <v>20</v>
      </c>
      <c r="CC25" s="74"/>
      <c r="CD25" s="179"/>
      <c r="CG25" s="180" t="str">
        <f>IF(CG24="","",CF24)</f>
        <v> </v>
      </c>
      <c r="CH25" s="200" t="s">
        <v>361</v>
      </c>
      <c r="CI25" s="182">
        <f>IFERROR(__xludf.DUMMYFUNCTION("""COMPUTED_VALUE"""),20.0)</f>
        <v>20</v>
      </c>
      <c r="CJ25" s="49" t="s">
        <v>362</v>
      </c>
      <c r="CK25" s="235"/>
      <c r="CL25" s="180" t="str">
        <f>IF(CL24="","",CK24)</f>
        <v> </v>
      </c>
      <c r="CM25" s="49" t="s">
        <v>361</v>
      </c>
      <c r="CN25" s="49">
        <f>IFERROR(__xludf.DUMMYFUNCTION("""COMPUTED_VALUE"""),20.0)</f>
        <v>20</v>
      </c>
      <c r="CQ25" s="180" t="str">
        <f>IF(CQ24="","",CP24)</f>
        <v> </v>
      </c>
      <c r="CR25" s="49" t="s">
        <v>361</v>
      </c>
      <c r="CS25" s="234">
        <f>IFERROR(__xludf.DUMMYFUNCTION("""COMPUTED_VALUE"""),20.0)</f>
        <v>20</v>
      </c>
      <c r="CV25" s="180" t="str">
        <f>IF(CV24="","",CU24)</f>
        <v> </v>
      </c>
      <c r="CW25" s="49" t="s">
        <v>361</v>
      </c>
      <c r="CX25" s="49">
        <f>IFERROR(__xludf.DUMMYFUNCTION("""COMPUTED_VALUE"""),20.0)</f>
        <v>20</v>
      </c>
      <c r="DA25" s="180" t="str">
        <f>IF(DA24="","",CZ24)</f>
        <v> </v>
      </c>
      <c r="DB25" s="49" t="s">
        <v>361</v>
      </c>
      <c r="DC25" s="49">
        <f>IFERROR(__xludf.DUMMYFUNCTION("""COMPUTED_VALUE"""),20.0)</f>
        <v>20</v>
      </c>
      <c r="DD25" s="49" t="s">
        <v>362</v>
      </c>
      <c r="DE25" s="49"/>
      <c r="DF25" s="49"/>
      <c r="DG25" s="49"/>
      <c r="DH25" s="49"/>
    </row>
    <row r="26" ht="13.5" customHeight="1">
      <c r="A26" s="208"/>
      <c r="B26" s="187">
        <v>11.0</v>
      </c>
      <c r="C26" s="188" t="str">
        <f>(VLOOKUP($B26,'Пр.взв'!$D$6:$J$63,2,0))</f>
        <v>НЕДОБЕЖКИН Илья</v>
      </c>
      <c r="D26" s="189" t="str">
        <f>(VLOOKUP($B26,'Пр.взв'!$D$6:$J$63,5,0))</f>
        <v>КМС</v>
      </c>
      <c r="E26" s="190" t="str">
        <f>(VLOOKUP($B26,'Пр.взв'!$D$6:$M$63,8,0))</f>
        <v>Санкт-Петербург</v>
      </c>
      <c r="F26" s="130">
        <f>B28</f>
        <v>12</v>
      </c>
      <c r="G26" s="131"/>
      <c r="H26" s="132">
        <v>9.0</v>
      </c>
      <c r="I26" s="131"/>
      <c r="J26" s="133" t="str">
        <f>IF(H26="Х","Х",IF($AC26&lt;6," ","Х"))</f>
        <v> </v>
      </c>
      <c r="K26" s="134"/>
      <c r="L26" s="133" t="str">
        <f>IF(J26="Х","Х",IF(K26&lt;3," ",IF($AC26&lt;6," ","Х")))</f>
        <v> </v>
      </c>
      <c r="M26" s="134"/>
      <c r="N26" s="133" t="str">
        <f>IF(L26="Х","Х",IF(M26&lt;3," ",IF($AC26&lt;6," ","Х")))</f>
        <v> </v>
      </c>
      <c r="O26" s="134"/>
      <c r="P26" s="133" t="str">
        <f>IF(N26="Х","Х",IF(O26&lt;3," ",IF($AC26&lt;6," ","Х")))</f>
        <v> </v>
      </c>
      <c r="Q26" s="134"/>
      <c r="R26" s="133" t="str">
        <f>IF(P26="Х","Х",IF(Q26&lt;3," ",IF($AC26&lt;6," ","Х")))</f>
        <v> </v>
      </c>
      <c r="S26" s="134"/>
      <c r="T26" s="133" t="str">
        <f>IF(R26="Х","Х",IF(S26&lt;3," ",IF($AC26&lt;6," ","Х")))</f>
        <v> </v>
      </c>
      <c r="U26" s="135"/>
      <c r="V26" s="133" t="str">
        <f>IF(T26="Х","Х",IF(U26&lt;3," ",IF($AC26&lt;6," ","Х")))</f>
        <v> </v>
      </c>
      <c r="W26" s="135"/>
      <c r="X26" s="133" t="str">
        <f>IF(V26="А1",$AZ$7,IF(V26="Б2",$AZ$6,IF(V26="Б1",$BA$7,IF(V26="А2",$BA$6,IF(V26="Х","Х",IF(V26&lt;6," "," "))))))</f>
        <v> </v>
      </c>
      <c r="Y26" s="136"/>
      <c r="Z26" s="133" t="str">
        <f>IF(V26="Х","Х",IF(ISBLANK(Y26),"",IF(Y26&gt;2.5," ",IF(B26=BB$6,BB$7,BB$6))))</f>
        <v/>
      </c>
      <c r="AA26" s="136"/>
      <c r="AB26" s="240" t="str">
        <f>IF(H26="Х",F$5,IF(J26="Х",H$5,IF(L26="Х",J$5,IF(N26="Х",L$5,IF(P26="Х",N$5,IF(R26="Х",P$5,IF(T26="Х",R$5,IF(X26="Х",T$5,""))))))))</f>
        <v/>
      </c>
      <c r="AC26" s="138">
        <f>SUM(G26+I26+K26+M26+O26+Q26+S26+U26+Y26+AA26)</f>
        <v>0</v>
      </c>
      <c r="AD26" s="241" t="str">
        <f>AF26</f>
        <v>1-54</v>
      </c>
      <c r="AE26" s="140" t="str">
        <f>AD26</f>
        <v>1-54</v>
      </c>
      <c r="AF26" s="141" t="str">
        <f>COUNTIF(AG$6:AG$148,"&gt;"&amp;AG$6:AG$148)+1&amp;REPT("-"&amp;COUNTIF(AG$6:AG$148,"&gt;="&amp;AG$6:AG$148),COUNTIF(AG$6:AG$148,AG26)&gt;1)</f>
        <v>1-54</v>
      </c>
      <c r="AG26" s="142">
        <f>(AR26*100)+(AP26*10)-AC26</f>
        <v>1280</v>
      </c>
      <c r="AH26" s="143" t="str">
        <f>IF(OR(F26="Х",F26="св")," ",IF(AND(G26&gt;=0,G26&lt;3),"1"," "))</f>
        <v>1</v>
      </c>
      <c r="AI26" s="90" t="str">
        <f>IF(OR(H26="Х",H26="св")," ",IF(AND(I26&gt;=0,I26&lt;3),"1"," "))</f>
        <v>1</v>
      </c>
      <c r="AJ26" s="90" t="str">
        <f>IF(OR(J26="Х",J26="св")," ",IF(AND(K26&gt;=0,K26&lt;3),"1"," "))</f>
        <v>1</v>
      </c>
      <c r="AK26" s="90" t="str">
        <f>IF(OR(L26="Х",L26="св")," ",IF(AND(M26&gt;=0,M26&lt;3),"1"," "))</f>
        <v>1</v>
      </c>
      <c r="AL26" s="90" t="str">
        <f>IF(OR(N26="Х",N26="св")," ",IF(AND(O26&gt;=0,O26&lt;3),"1"," "))</f>
        <v>1</v>
      </c>
      <c r="AM26" s="90" t="str">
        <f>IF(OR(P26="Х",P26="св")," ",IF(AND(Q26&gt;=0,Q26&lt;3),"1"," "))</f>
        <v>1</v>
      </c>
      <c r="AN26" s="90" t="str">
        <f>IF(OR(R26="Х",R26="св")," ",IF(AND(S26&gt;=0,S26&lt;3),"1"," "))</f>
        <v>1</v>
      </c>
      <c r="AO26" s="90" t="str">
        <f>IF(OR(T26="Х",T26="св")," ",IF(AND(U26&gt;=0,U26&lt;3),"1"," "))</f>
        <v>1</v>
      </c>
      <c r="AP26" s="90">
        <f>COUNTIF(AH26:AO27,1)</f>
        <v>8</v>
      </c>
      <c r="AQ26" s="90">
        <f>AG26-AC26</f>
        <v>1280</v>
      </c>
      <c r="AR26" s="144">
        <f>IF(F26=0,0,IF(F26="Х",1,IF(H26="Х",2,IF(J26="Х",3,IF(L26="Х",4,IF(N26="Х",5,IF(P26="Х",6,IF(R26="Х",7,IF(T26="Х",8,IF(V26="Х",9,IF(Y26&gt;2.5,10,IF(AA26&gt;2.5,11,IF(AA26&gt;=0,12,IF(AA26=" ",0,))))))))))))))</f>
        <v>12</v>
      </c>
      <c r="AS26" s="90" t="str">
        <f>COUNTIF(AG$6:AG$134,"&gt;"&amp;AG$6:AG$134)+1&amp;REPT("-"&amp;COUNTIF(AG$6:AG$134,"&gt;="&amp;AG$6:AG$134),COUNTIF(AG$6:AG$134,AG26)&gt;1)</f>
        <v>1-54</v>
      </c>
      <c r="AT26" s="143" t="str">
        <f t="shared" ref="AT26:AW26" si="14">COUNTIF(AU$6:AU$134,"&gt;"&amp;AU$6:AU$134)+1&amp;REPT("-"&amp;COUNTIF(AU$6:AU$134,"&gt;="&amp;AU$6:AU$134),COUNTIF(AU$6:AU$134,AU26)&gt;1)</f>
        <v>1-64</v>
      </c>
      <c r="AU26" s="143" t="str">
        <f t="shared" si="14"/>
        <v>1-0</v>
      </c>
      <c r="AV26" s="143" t="str">
        <f t="shared" si="14"/>
        <v>1</v>
      </c>
      <c r="AW26" s="143" t="str">
        <f t="shared" si="14"/>
        <v>54</v>
      </c>
      <c r="AX26" s="145">
        <f>IF(X26="Х","Х",IF(Y26&lt;3,B26,"Х"))</f>
        <v>11</v>
      </c>
      <c r="AY26" s="222">
        <v>16.0</v>
      </c>
      <c r="AZ26" s="152"/>
      <c r="BA26" s="222">
        <v>16.0</v>
      </c>
      <c r="BB26" s="242"/>
      <c r="BC26" s="222">
        <v>16.0</v>
      </c>
      <c r="BD26" s="225">
        <v>16.0</v>
      </c>
      <c r="BE26" s="222">
        <v>16.0</v>
      </c>
      <c r="BF26" s="224">
        <v>16.0</v>
      </c>
      <c r="BG26" s="222">
        <v>16.0</v>
      </c>
      <c r="BH26" s="222">
        <v>16.0</v>
      </c>
      <c r="BI26" s="52"/>
      <c r="BJ26" s="52"/>
      <c r="BK26" s="52"/>
      <c r="BL26" s="52"/>
      <c r="BM26" s="195">
        <v>11.0</v>
      </c>
      <c r="BN26" s="196">
        <v>12.0</v>
      </c>
      <c r="BO26" s="153">
        <f>IF(BM26&lt;BN26,BM26,"")</f>
        <v>11</v>
      </c>
      <c r="BP26" s="196">
        <v>11.0</v>
      </c>
      <c r="BQ26" s="197">
        <f>IFERROR(__xludf.DUMMYFUNCTION("""COMPUTED_VALUE"""),21.0)</f>
        <v>21</v>
      </c>
      <c r="BR26" s="198">
        <v>11.0</v>
      </c>
      <c r="BS26" s="196">
        <v>9.0</v>
      </c>
      <c r="BT26" s="175" t="str">
        <f>IF(BR26&lt;BS26,BR26,"")</f>
        <v/>
      </c>
      <c r="BU26" s="196" t="s">
        <v>362</v>
      </c>
      <c r="BV26" s="196">
        <f>IFERROR(__xludf.DUMMYFUNCTION("""COMPUTED_VALUE"""),21.0)</f>
        <v>21</v>
      </c>
      <c r="BW26" s="199">
        <v>11.0</v>
      </c>
      <c r="BX26" s="74" t="s">
        <v>361</v>
      </c>
      <c r="BY26" s="160">
        <f t="array" ref="BY26">IF(BW26&lt;BX26,BW26,"")</f>
        <v>11</v>
      </c>
      <c r="BZ26" s="160">
        <f t="shared" si="3"/>
        <v>11</v>
      </c>
      <c r="CA26" s="74">
        <f>IFERROR(__xludf.DUMMYFUNCTION("""COMPUTED_VALUE"""),21.0)</f>
        <v>21</v>
      </c>
      <c r="CB26" s="74">
        <f t="shared" si="4"/>
        <v>21</v>
      </c>
      <c r="CC26" s="74"/>
      <c r="CD26" s="179"/>
      <c r="CE26" s="200">
        <v>11.0</v>
      </c>
      <c r="CF26" s="25" t="s">
        <v>361</v>
      </c>
      <c r="CG26" s="153">
        <f t="array" ref="CG26">IF(CE26&lt;CF26,CE26,"")</f>
        <v>11</v>
      </c>
      <c r="CH26" s="74">
        <v>11.0</v>
      </c>
      <c r="CI26" s="182">
        <f>IFERROR(__xludf.DUMMYFUNCTION("""COMPUTED_VALUE"""),21.0)</f>
        <v>21</v>
      </c>
      <c r="CJ26" s="93">
        <v>11.0</v>
      </c>
      <c r="CK26" s="233" t="s">
        <v>361</v>
      </c>
      <c r="CL26" s="153">
        <f t="array" ref="CL26">IF(CJ26&lt;CK26,CJ26,"")</f>
        <v>11</v>
      </c>
      <c r="CM26" s="49">
        <v>11.0</v>
      </c>
      <c r="CN26" s="49">
        <f>IFERROR(__xludf.DUMMYFUNCTION("""COMPUTED_VALUE"""),21.0)</f>
        <v>21</v>
      </c>
      <c r="CO26" s="74">
        <v>11.0</v>
      </c>
      <c r="CP26" s="200" t="s">
        <v>361</v>
      </c>
      <c r="CQ26" s="153">
        <f t="array" ref="CQ26">IF(CO26&lt;CP26,CO26,"")</f>
        <v>11</v>
      </c>
      <c r="CR26" s="93">
        <v>11.0</v>
      </c>
      <c r="CS26" s="234">
        <f>IFERROR(__xludf.DUMMYFUNCTION("""COMPUTED_VALUE"""),21.0)</f>
        <v>21</v>
      </c>
      <c r="CT26" s="200">
        <v>11.0</v>
      </c>
      <c r="CU26" s="74" t="s">
        <v>361</v>
      </c>
      <c r="CV26" s="153">
        <f t="array" ref="CV26">IF(CT26&lt;CU26,CT26,"")</f>
        <v>11</v>
      </c>
      <c r="CW26" s="49">
        <v>11.0</v>
      </c>
      <c r="CX26" s="49">
        <f>IFERROR(__xludf.DUMMYFUNCTION("""COMPUTED_VALUE"""),21.0)</f>
        <v>21</v>
      </c>
      <c r="CY26" s="200">
        <v>11.0</v>
      </c>
      <c r="CZ26" s="74" t="s">
        <v>361</v>
      </c>
      <c r="DA26" s="153">
        <f t="array" ref="DA26">IF(CY26&lt;CZ26,CY26,"")</f>
        <v>11</v>
      </c>
      <c r="DB26" s="49">
        <v>11.0</v>
      </c>
      <c r="DC26" s="49">
        <f>IFERROR(__xludf.DUMMYFUNCTION("""COMPUTED_VALUE"""),21.0)</f>
        <v>21</v>
      </c>
      <c r="DD26" s="49">
        <v>11.0</v>
      </c>
      <c r="DE26" s="49"/>
      <c r="DF26" s="49"/>
      <c r="DG26" s="49"/>
      <c r="DH26" s="49"/>
    </row>
    <row r="27" ht="13.5" customHeight="1">
      <c r="A27" s="208"/>
      <c r="B27" s="165"/>
      <c r="C27" s="165"/>
      <c r="D27" s="165"/>
      <c r="E27" s="165"/>
      <c r="F27" s="166"/>
      <c r="G27" s="167"/>
      <c r="H27" s="168"/>
      <c r="I27" s="167"/>
      <c r="J27" s="168"/>
      <c r="K27" s="167"/>
      <c r="L27" s="168"/>
      <c r="M27" s="167"/>
      <c r="N27" s="168"/>
      <c r="O27" s="167"/>
      <c r="P27" s="168"/>
      <c r="Q27" s="167"/>
      <c r="R27" s="168"/>
      <c r="S27" s="167"/>
      <c r="T27" s="168"/>
      <c r="U27" s="169"/>
      <c r="V27" s="168"/>
      <c r="W27" s="169"/>
      <c r="X27" s="168"/>
      <c r="Y27" s="167"/>
      <c r="Z27" s="168"/>
      <c r="AA27" s="167"/>
      <c r="AB27" s="166"/>
      <c r="AC27" s="165"/>
      <c r="AD27" s="168"/>
      <c r="AE27" s="170"/>
      <c r="AF27" s="171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Y27" s="227">
        <v>17.0</v>
      </c>
      <c r="AZ27" s="152"/>
      <c r="BA27" s="228">
        <v>17.0</v>
      </c>
      <c r="BB27" s="49"/>
      <c r="BC27" s="227">
        <v>17.0</v>
      </c>
      <c r="BD27" s="225">
        <v>17.0</v>
      </c>
      <c r="BE27" s="227">
        <v>17.0</v>
      </c>
      <c r="BF27" s="224">
        <v>17.0</v>
      </c>
      <c r="BG27" s="227">
        <v>17.0</v>
      </c>
      <c r="BH27" s="227">
        <v>17.0</v>
      </c>
      <c r="BI27" s="52"/>
      <c r="BJ27" s="52"/>
      <c r="BK27" s="52"/>
      <c r="BL27" s="52"/>
      <c r="BM27" s="178"/>
      <c r="BO27" s="175">
        <f>IF(BO26="","",BN26)</f>
        <v>12</v>
      </c>
      <c r="BP27" s="175">
        <v>12.0</v>
      </c>
      <c r="BQ27" s="197">
        <f>IFERROR(__xludf.DUMMYFUNCTION("""COMPUTED_VALUE"""),22.0)</f>
        <v>22</v>
      </c>
      <c r="BT27" s="175" t="str">
        <f>IF(BT26="","",BS26)</f>
        <v/>
      </c>
      <c r="BU27" s="175" t="s">
        <v>362</v>
      </c>
      <c r="BV27" s="196">
        <f>IFERROR(__xludf.DUMMYFUNCTION("""COMPUTED_VALUE"""),23.0)</f>
        <v>23</v>
      </c>
      <c r="BW27" s="178"/>
      <c r="BY27" s="160" t="str">
        <f>IF(BY26="","",BX26)</f>
        <v> </v>
      </c>
      <c r="BZ27" s="160" t="str">
        <f t="shared" si="3"/>
        <v> </v>
      </c>
      <c r="CA27" s="200">
        <f>IFERROR(__xludf.DUMMYFUNCTION("""COMPUTED_VALUE"""),22.0)</f>
        <v>22</v>
      </c>
      <c r="CB27" s="74">
        <f t="shared" si="4"/>
        <v>22</v>
      </c>
      <c r="CC27" s="200"/>
      <c r="CD27" s="243"/>
      <c r="CG27" s="180" t="str">
        <f>IF(CG26="","",CF26)</f>
        <v> </v>
      </c>
      <c r="CH27" s="200" t="s">
        <v>361</v>
      </c>
      <c r="CI27" s="182">
        <f>IFERROR(__xludf.DUMMYFUNCTION("""COMPUTED_VALUE"""),22.0)</f>
        <v>22</v>
      </c>
      <c r="CJ27" s="49" t="s">
        <v>362</v>
      </c>
      <c r="CK27" s="235"/>
      <c r="CL27" s="180" t="str">
        <f>IF(CL26="","",CK26)</f>
        <v> </v>
      </c>
      <c r="CM27" s="49" t="s">
        <v>361</v>
      </c>
      <c r="CN27" s="49">
        <f>IFERROR(__xludf.DUMMYFUNCTION("""COMPUTED_VALUE"""),22.0)</f>
        <v>22</v>
      </c>
      <c r="CQ27" s="180" t="str">
        <f>IF(CQ26="","",CP26)</f>
        <v> </v>
      </c>
      <c r="CR27" s="49" t="s">
        <v>361</v>
      </c>
      <c r="CS27" s="234">
        <f>IFERROR(__xludf.DUMMYFUNCTION("""COMPUTED_VALUE"""),22.0)</f>
        <v>22</v>
      </c>
      <c r="CV27" s="180" t="str">
        <f>IF(CV26="","",CU26)</f>
        <v> </v>
      </c>
      <c r="CW27" s="49" t="s">
        <v>361</v>
      </c>
      <c r="CX27" s="49">
        <f>IFERROR(__xludf.DUMMYFUNCTION("""COMPUTED_VALUE"""),22.0)</f>
        <v>22</v>
      </c>
      <c r="DA27" s="180" t="str">
        <f>IF(DA26="","",CZ26)</f>
        <v> </v>
      </c>
      <c r="DB27" s="49" t="s">
        <v>361</v>
      </c>
      <c r="DC27" s="49">
        <f>IFERROR(__xludf.DUMMYFUNCTION("""COMPUTED_VALUE"""),22.0)</f>
        <v>22</v>
      </c>
      <c r="DD27" s="49" t="s">
        <v>362</v>
      </c>
      <c r="DE27" s="49"/>
      <c r="DF27" s="49"/>
      <c r="DG27" s="49"/>
      <c r="DH27" s="49"/>
    </row>
    <row r="28" ht="13.5" customHeight="1">
      <c r="A28" s="208"/>
      <c r="B28" s="126">
        <v>12.0</v>
      </c>
      <c r="C28" s="188" t="str">
        <f>(VLOOKUP($B28,'Пр.взв'!$D$6:$J$63,2,0))</f>
        <v>ВОЕВОДКИН Роберт</v>
      </c>
      <c r="D28" s="189" t="str">
        <f>(VLOOKUP($B28,'Пр.взв'!$D$6:$J$63,5,0))</f>
        <v>КМС</v>
      </c>
      <c r="E28" s="190" t="str">
        <f>(VLOOKUP($B28,'Пр.взв'!$D$6:$M$63,8,0))</f>
        <v>Р.Крым</v>
      </c>
      <c r="F28" s="130">
        <f>B26</f>
        <v>11</v>
      </c>
      <c r="G28" s="131"/>
      <c r="H28" s="132">
        <v>10.0</v>
      </c>
      <c r="I28" s="131"/>
      <c r="J28" s="133" t="str">
        <f>IF(H28="Х","Х",IF($AC28&lt;6," ","Х"))</f>
        <v> </v>
      </c>
      <c r="K28" s="134"/>
      <c r="L28" s="133" t="str">
        <f>IF(J28="Х","Х",IF(K28&lt;3," ",IF($AC28&lt;6," ","Х")))</f>
        <v> </v>
      </c>
      <c r="M28" s="134"/>
      <c r="N28" s="133" t="str">
        <f>IF(L28="Х","Х",IF(M28&lt;3," ",IF($AC28&lt;6," ","Х")))</f>
        <v> </v>
      </c>
      <c r="O28" s="134"/>
      <c r="P28" s="133" t="str">
        <f>IF(N28="Х","Х",IF(O28&lt;3," ",IF($AC28&lt;6," ","Х")))</f>
        <v> </v>
      </c>
      <c r="Q28" s="134"/>
      <c r="R28" s="133" t="str">
        <f>IF(P28="Х","Х",IF(Q28&lt;3," ",IF($AC28&lt;6," ","Х")))</f>
        <v> </v>
      </c>
      <c r="S28" s="134"/>
      <c r="T28" s="133" t="str">
        <f>IF(R28="Х","Х",IF(S28&lt;3," ",IF($AC28&lt;6," ","Х")))</f>
        <v> </v>
      </c>
      <c r="U28" s="135"/>
      <c r="V28" s="133" t="str">
        <f>IF(T28="Х","Х",IF(U28&lt;3," ",IF($AC28&lt;6," ","Х")))</f>
        <v> </v>
      </c>
      <c r="W28" s="135"/>
      <c r="X28" s="133" t="str">
        <f>IF(V28="А1",$AZ$7,IF(V28="Б2",$AZ$6,IF(V28="Б1",$BA$7,IF(V28="А2",$BA$6,IF(V28="Х","Х",IF(V28&lt;6," "," "))))))</f>
        <v> </v>
      </c>
      <c r="Y28" s="136"/>
      <c r="Z28" s="133" t="str">
        <f>IF(V28="Х","Х",IF(ISBLANK(Y28),"",IF(Y28&gt;2.5," ",IF(B28=BB$6,BB$7,BB$6))))</f>
        <v/>
      </c>
      <c r="AA28" s="136"/>
      <c r="AB28" s="240" t="str">
        <f>IF(H28="Х",F$5,IF(J28="Х",H$5,IF(L28="Х",J$5,IF(N28="Х",L$5,IF(P28="Х",N$5,IF(R28="Х",P$5,IF(T28="Х",R$5,IF(X28="Х",T$5,""))))))))</f>
        <v/>
      </c>
      <c r="AC28" s="138">
        <f>SUM(G28+I28+K28+M28+O28+Q28+S28+U28+Y28+AA28)</f>
        <v>0</v>
      </c>
      <c r="AD28" s="241" t="str">
        <f>AF28</f>
        <v>1-54</v>
      </c>
      <c r="AE28" s="140" t="str">
        <f>AD28</f>
        <v>1-54</v>
      </c>
      <c r="AF28" s="141" t="str">
        <f>COUNTIF(AG$6:AG$148,"&gt;"&amp;AG$6:AG$148)+1&amp;REPT("-"&amp;COUNTIF(AG$6:AG$148,"&gt;="&amp;AG$6:AG$148),COUNTIF(AG$6:AG$148,AG28)&gt;1)</f>
        <v>1-54</v>
      </c>
      <c r="AG28" s="142">
        <f>(AR28*100)+(AP28*10)-AC28</f>
        <v>1280</v>
      </c>
      <c r="AH28" s="143" t="str">
        <f>IF(OR(F28="Х",F28="св")," ",IF(AND(G28&gt;=0,G28&lt;3),"1"," "))</f>
        <v>1</v>
      </c>
      <c r="AI28" s="90" t="str">
        <f>IF(OR(H28="Х",H28="св")," ",IF(AND(I28&gt;=0,I28&lt;3),"1"," "))</f>
        <v>1</v>
      </c>
      <c r="AJ28" s="90" t="str">
        <f>IF(OR(J28="Х",J28="св")," ",IF(AND(K28&gt;=0,K28&lt;3),"1"," "))</f>
        <v>1</v>
      </c>
      <c r="AK28" s="90" t="str">
        <f>IF(OR(L28="Х",L28="св")," ",IF(AND(M28&gt;=0,M28&lt;3),"1"," "))</f>
        <v>1</v>
      </c>
      <c r="AL28" s="90" t="str">
        <f>IF(OR(N28="Х",N28="св")," ",IF(AND(O28&gt;=0,O28&lt;3),"1"," "))</f>
        <v>1</v>
      </c>
      <c r="AM28" s="90" t="str">
        <f>IF(OR(P28="Х",P28="св")," ",IF(AND(Q28&gt;=0,Q28&lt;3),"1"," "))</f>
        <v>1</v>
      </c>
      <c r="AN28" s="90" t="str">
        <f>IF(OR(R28="Х",R28="св")," ",IF(AND(S28&gt;=0,S28&lt;3),"1"," "))</f>
        <v>1</v>
      </c>
      <c r="AO28" s="90" t="str">
        <f>IF(OR(T28="Х",T28="св")," ",IF(AND(U28&gt;=0,U28&lt;3),"1"," "))</f>
        <v>1</v>
      </c>
      <c r="AP28" s="90">
        <f>COUNTIF(AH28:AO29,1)</f>
        <v>8</v>
      </c>
      <c r="AQ28" s="90">
        <f>AG28-AC28</f>
        <v>1280</v>
      </c>
      <c r="AR28" s="144">
        <f>IF(F28=0,0,IF(F28="Х",1,IF(H28="Х",2,IF(J28="Х",3,IF(L28="Х",4,IF(N28="Х",5,IF(P28="Х",6,IF(R28="Х",7,IF(T28="Х",8,IF(V28="Х",9,IF(Y28&gt;2.5,10,IF(AA28&gt;2.5,11,IF(AA28&gt;=0,12,IF(AA28=" ",0,))))))))))))))</f>
        <v>12</v>
      </c>
      <c r="AS28" s="90" t="str">
        <f>COUNTIF(AG$6:AG$134,"&gt;"&amp;AG$6:AG$134)+1&amp;REPT("-"&amp;COUNTIF(AG$6:AG$134,"&gt;="&amp;AG$6:AG$134),COUNTIF(AG$6:AG$134,AG28)&gt;1)</f>
        <v>1-54</v>
      </c>
      <c r="AT28" s="143" t="str">
        <f t="shared" ref="AT28:AW28" si="15">COUNTIF(AU$6:AU$134,"&gt;"&amp;AU$6:AU$134)+1&amp;REPT("-"&amp;COUNTIF(AU$6:AU$134,"&gt;="&amp;AU$6:AU$134),COUNTIF(AU$6:AU$134,AU28)&gt;1)</f>
        <v>1-64</v>
      </c>
      <c r="AU28" s="143" t="str">
        <f t="shared" si="15"/>
        <v>1-0</v>
      </c>
      <c r="AV28" s="143" t="str">
        <f t="shared" si="15"/>
        <v>1</v>
      </c>
      <c r="AW28" s="143" t="str">
        <f t="shared" si="15"/>
        <v>53</v>
      </c>
      <c r="AX28" s="145">
        <f>IF(X28="Х","Х",IF(Y28&lt;3,B28,"Х"))</f>
        <v>12</v>
      </c>
      <c r="AY28" s="222">
        <v>18.0</v>
      </c>
      <c r="AZ28" s="152"/>
      <c r="BA28" s="222">
        <v>18.0</v>
      </c>
      <c r="BB28" s="49"/>
      <c r="BC28" s="222">
        <v>18.0</v>
      </c>
      <c r="BD28" s="225">
        <v>18.0</v>
      </c>
      <c r="BE28" s="222">
        <v>18.0</v>
      </c>
      <c r="BF28" s="224">
        <v>19.0</v>
      </c>
      <c r="BG28" s="222">
        <v>18.0</v>
      </c>
      <c r="BH28" s="222">
        <v>18.0</v>
      </c>
      <c r="BI28" s="52"/>
      <c r="BJ28" s="52"/>
      <c r="BK28" s="52"/>
      <c r="BL28" s="52"/>
      <c r="BM28" s="195">
        <v>12.0</v>
      </c>
      <c r="BN28" s="196">
        <v>11.0</v>
      </c>
      <c r="BO28" s="153" t="str">
        <f>IF(BM28&lt;BN28,BM28,"")</f>
        <v/>
      </c>
      <c r="BP28" s="196" t="s">
        <v>362</v>
      </c>
      <c r="BQ28" s="197">
        <f>IFERROR(__xludf.DUMMYFUNCTION("""COMPUTED_VALUE"""),23.0)</f>
        <v>23</v>
      </c>
      <c r="BR28" s="198">
        <v>12.0</v>
      </c>
      <c r="BS28" s="196">
        <v>10.0</v>
      </c>
      <c r="BT28" s="175" t="str">
        <f>IF(BR28&lt;BS28,BR28,"")</f>
        <v/>
      </c>
      <c r="BU28" s="196" t="s">
        <v>362</v>
      </c>
      <c r="BV28" s="196">
        <f>IFERROR(__xludf.DUMMYFUNCTION("""COMPUTED_VALUE"""),22.0)</f>
        <v>22</v>
      </c>
      <c r="BW28" s="199">
        <v>12.0</v>
      </c>
      <c r="BX28" s="74" t="s">
        <v>361</v>
      </c>
      <c r="BY28" s="160">
        <f t="array" ref="BY28">IF(BW28&lt;BX28,BW28,"")</f>
        <v>12</v>
      </c>
      <c r="BZ28" s="160">
        <f t="shared" si="3"/>
        <v>12</v>
      </c>
      <c r="CA28" s="74">
        <f>IFERROR(__xludf.DUMMYFUNCTION("""COMPUTED_VALUE"""),23.0)</f>
        <v>23</v>
      </c>
      <c r="CB28" s="74">
        <f t="shared" si="4"/>
        <v>23</v>
      </c>
      <c r="CC28" s="200"/>
      <c r="CD28" s="243"/>
      <c r="CE28" s="200">
        <v>12.0</v>
      </c>
      <c r="CF28" s="25" t="s">
        <v>361</v>
      </c>
      <c r="CG28" s="153">
        <f t="array" ref="CG28">IF(CE28&lt;CF28,CE28,"")</f>
        <v>12</v>
      </c>
      <c r="CH28" s="74">
        <v>12.0</v>
      </c>
      <c r="CI28" s="182">
        <f>IFERROR(__xludf.DUMMYFUNCTION("""COMPUTED_VALUE"""),23.0)</f>
        <v>23</v>
      </c>
      <c r="CJ28" s="93">
        <v>12.0</v>
      </c>
      <c r="CK28" s="233" t="s">
        <v>361</v>
      </c>
      <c r="CL28" s="153">
        <f t="array" ref="CL28">IF(CJ28&lt;CK28,CJ28,"")</f>
        <v>12</v>
      </c>
      <c r="CM28" s="49">
        <v>12.0</v>
      </c>
      <c r="CN28" s="49">
        <f>IFERROR(__xludf.DUMMYFUNCTION("""COMPUTED_VALUE"""),23.0)</f>
        <v>23</v>
      </c>
      <c r="CO28" s="74">
        <v>12.0</v>
      </c>
      <c r="CP28" s="200" t="s">
        <v>361</v>
      </c>
      <c r="CQ28" s="153">
        <f t="array" ref="CQ28">IF(CO28&lt;CP28,CO28,"")</f>
        <v>12</v>
      </c>
      <c r="CR28" s="93">
        <v>12.0</v>
      </c>
      <c r="CS28" s="234">
        <f>IFERROR(__xludf.DUMMYFUNCTION("""COMPUTED_VALUE"""),23.0)</f>
        <v>23</v>
      </c>
      <c r="CT28" s="200">
        <v>12.0</v>
      </c>
      <c r="CU28" s="74" t="s">
        <v>361</v>
      </c>
      <c r="CV28" s="153">
        <f t="array" ref="CV28">IF(CT28&lt;CU28,CT28,"")</f>
        <v>12</v>
      </c>
      <c r="CW28" s="49">
        <v>12.0</v>
      </c>
      <c r="CX28" s="49">
        <f>IFERROR(__xludf.DUMMYFUNCTION("""COMPUTED_VALUE"""),23.0)</f>
        <v>23</v>
      </c>
      <c r="CY28" s="200">
        <v>12.0</v>
      </c>
      <c r="CZ28" s="74" t="s">
        <v>361</v>
      </c>
      <c r="DA28" s="153">
        <f t="array" ref="DA28">IF(CY28&lt;CZ28,CY28,"")</f>
        <v>12</v>
      </c>
      <c r="DB28" s="49">
        <v>12.0</v>
      </c>
      <c r="DC28" s="49">
        <f>IFERROR(__xludf.DUMMYFUNCTION("""COMPUTED_VALUE"""),23.0)</f>
        <v>23</v>
      </c>
      <c r="DD28" s="49">
        <v>12.0</v>
      </c>
      <c r="DE28" s="49"/>
      <c r="DF28" s="49"/>
      <c r="DG28" s="49"/>
      <c r="DH28" s="49"/>
    </row>
    <row r="29" ht="13.5" customHeight="1">
      <c r="A29" s="208"/>
      <c r="B29" s="165"/>
      <c r="C29" s="165"/>
      <c r="D29" s="165"/>
      <c r="E29" s="165"/>
      <c r="F29" s="166"/>
      <c r="G29" s="167"/>
      <c r="H29" s="168"/>
      <c r="I29" s="167"/>
      <c r="J29" s="168"/>
      <c r="K29" s="167"/>
      <c r="L29" s="168"/>
      <c r="M29" s="167"/>
      <c r="N29" s="168"/>
      <c r="O29" s="167"/>
      <c r="P29" s="168"/>
      <c r="Q29" s="167"/>
      <c r="R29" s="168"/>
      <c r="S29" s="167"/>
      <c r="T29" s="168"/>
      <c r="U29" s="169"/>
      <c r="V29" s="168"/>
      <c r="W29" s="169"/>
      <c r="X29" s="168"/>
      <c r="Y29" s="167"/>
      <c r="Z29" s="168"/>
      <c r="AA29" s="167"/>
      <c r="AB29" s="166"/>
      <c r="AC29" s="165"/>
      <c r="AD29" s="168"/>
      <c r="AE29" s="170"/>
      <c r="AF29" s="171"/>
      <c r="AG29" s="113"/>
      <c r="AH29" s="113"/>
      <c r="AI29" s="113"/>
      <c r="AJ29" s="113"/>
      <c r="AK29" s="113"/>
      <c r="AL29" s="113"/>
      <c r="AM29" s="113"/>
      <c r="AN29" s="113"/>
      <c r="AO29" s="113"/>
      <c r="AP29" s="113"/>
      <c r="AQ29" s="113"/>
      <c r="AR29" s="113"/>
      <c r="AS29" s="113"/>
      <c r="AT29" s="113"/>
      <c r="AU29" s="113"/>
      <c r="AV29" s="113"/>
      <c r="AW29" s="113"/>
      <c r="AY29" s="227">
        <v>19.0</v>
      </c>
      <c r="AZ29" s="152"/>
      <c r="BA29" s="228">
        <v>19.0</v>
      </c>
      <c r="BB29" s="49"/>
      <c r="BC29" s="227">
        <v>19.0</v>
      </c>
      <c r="BD29" s="225">
        <v>19.0</v>
      </c>
      <c r="BE29" s="227">
        <v>19.0</v>
      </c>
      <c r="BF29" s="224">
        <v>18.0</v>
      </c>
      <c r="BG29" s="227">
        <v>19.0</v>
      </c>
      <c r="BH29" s="227">
        <v>19.0</v>
      </c>
      <c r="BI29" s="52"/>
      <c r="BJ29" s="52"/>
      <c r="BK29" s="52"/>
      <c r="BL29" s="52"/>
      <c r="BM29" s="178"/>
      <c r="BO29" s="175" t="str">
        <f>IF(BO28="","",BN28)</f>
        <v/>
      </c>
      <c r="BP29" s="175" t="s">
        <v>362</v>
      </c>
      <c r="BQ29" s="197">
        <f>IFERROR(__xludf.DUMMYFUNCTION("""COMPUTED_VALUE"""),24.0)</f>
        <v>24</v>
      </c>
      <c r="BT29" s="175" t="str">
        <f>IF(BT28="","",BS28)</f>
        <v/>
      </c>
      <c r="BU29" s="175" t="s">
        <v>362</v>
      </c>
      <c r="BV29" s="196">
        <f>IFERROR(__xludf.DUMMYFUNCTION("""COMPUTED_VALUE"""),24.0)</f>
        <v>24</v>
      </c>
      <c r="BW29" s="178"/>
      <c r="BY29" s="160" t="str">
        <f>IF(BY28="","",BX28)</f>
        <v> </v>
      </c>
      <c r="BZ29" s="160" t="str">
        <f t="shared" si="3"/>
        <v> </v>
      </c>
      <c r="CA29" s="200">
        <f>IFERROR(__xludf.DUMMYFUNCTION("""COMPUTED_VALUE"""),24.0)</f>
        <v>24</v>
      </c>
      <c r="CB29" s="74">
        <f t="shared" si="4"/>
        <v>24</v>
      </c>
      <c r="CC29" s="200"/>
      <c r="CD29" s="243"/>
      <c r="CG29" s="180" t="str">
        <f>IF(CG28="","",CF28)</f>
        <v> </v>
      </c>
      <c r="CH29" s="200" t="s">
        <v>361</v>
      </c>
      <c r="CI29" s="182">
        <f>IFERROR(__xludf.DUMMYFUNCTION("""COMPUTED_VALUE"""),24.0)</f>
        <v>24</v>
      </c>
      <c r="CJ29" s="49" t="s">
        <v>362</v>
      </c>
      <c r="CK29" s="235"/>
      <c r="CL29" s="180" t="str">
        <f>IF(CL28="","",CK28)</f>
        <v> </v>
      </c>
      <c r="CM29" s="49" t="s">
        <v>361</v>
      </c>
      <c r="CN29" s="49">
        <f>IFERROR(__xludf.DUMMYFUNCTION("""COMPUTED_VALUE"""),24.0)</f>
        <v>24</v>
      </c>
      <c r="CQ29" s="180" t="str">
        <f>IF(CQ28="","",CP28)</f>
        <v> </v>
      </c>
      <c r="CR29" s="49" t="s">
        <v>361</v>
      </c>
      <c r="CS29" s="234">
        <f>IFERROR(__xludf.DUMMYFUNCTION("""COMPUTED_VALUE"""),24.0)</f>
        <v>24</v>
      </c>
      <c r="CV29" s="180" t="str">
        <f>IF(CV28="","",CU28)</f>
        <v> </v>
      </c>
      <c r="CW29" s="49" t="s">
        <v>361</v>
      </c>
      <c r="CX29" s="49">
        <f>IFERROR(__xludf.DUMMYFUNCTION("""COMPUTED_VALUE"""),24.0)</f>
        <v>24</v>
      </c>
      <c r="DA29" s="180" t="str">
        <f>IF(DA28="","",CZ28)</f>
        <v> </v>
      </c>
      <c r="DB29" s="49" t="s">
        <v>361</v>
      </c>
      <c r="DC29" s="49">
        <f>IFERROR(__xludf.DUMMYFUNCTION("""COMPUTED_VALUE"""),24.0)</f>
        <v>24</v>
      </c>
      <c r="DD29" s="49" t="s">
        <v>362</v>
      </c>
      <c r="DE29" s="49"/>
      <c r="DF29" s="49"/>
      <c r="DG29" s="49"/>
      <c r="DH29" s="49"/>
    </row>
    <row r="30" ht="13.5" customHeight="1">
      <c r="A30" s="244"/>
      <c r="B30" s="187">
        <v>13.0</v>
      </c>
      <c r="C30" s="188" t="str">
        <f>(VLOOKUP($B30,'Пр.взв'!$D$6:$J$63,2,0))</f>
        <v>МЕФОДИН Никита </v>
      </c>
      <c r="D30" s="189" t="str">
        <f>(VLOOKUP($B30,'Пр.взв'!$D$6:$J$63,5,0))</f>
        <v>1р</v>
      </c>
      <c r="E30" s="190" t="str">
        <f>(VLOOKUP($B30,'Пр.взв'!$D$6:$M$63,8,0))</f>
        <v>Рязанская</v>
      </c>
      <c r="F30" s="130">
        <f>B32</f>
        <v>14</v>
      </c>
      <c r="G30" s="131"/>
      <c r="H30" s="132">
        <v>15.0</v>
      </c>
      <c r="I30" s="131"/>
      <c r="J30" s="133" t="str">
        <f>IF(H30="Х","Х",IF($AC30&lt;6," ","Х"))</f>
        <v> </v>
      </c>
      <c r="K30" s="134"/>
      <c r="L30" s="133" t="str">
        <f>IF(J30="Х","Х",IF(K30&lt;3," ",IF($AC30&lt;6," ","Х")))</f>
        <v> </v>
      </c>
      <c r="M30" s="134"/>
      <c r="N30" s="133" t="str">
        <f>IF(L30="Х","Х",IF(M30&lt;3," ",IF($AC30&lt;6," ","Х")))</f>
        <v> </v>
      </c>
      <c r="O30" s="134"/>
      <c r="P30" s="133" t="str">
        <f>IF(N30="Х","Х",IF(O30&lt;3," ",IF($AC30&lt;6," ","Х")))</f>
        <v> </v>
      </c>
      <c r="Q30" s="134"/>
      <c r="R30" s="133" t="str">
        <f>IF(P30="Х","Х",IF(Q30&lt;3," ",IF($AC30&lt;6," ","Х")))</f>
        <v> </v>
      </c>
      <c r="S30" s="134"/>
      <c r="T30" s="133" t="str">
        <f>IF(R30="Х","Х",IF(S30&lt;3," ",IF($AC30&lt;6," ","Х")))</f>
        <v> </v>
      </c>
      <c r="U30" s="135"/>
      <c r="V30" s="133" t="str">
        <f>IF(T30="Х","Х",IF(U30&lt;3," ",IF($AC30&lt;6," ","Х")))</f>
        <v> </v>
      </c>
      <c r="W30" s="135"/>
      <c r="X30" s="133" t="str">
        <f>IF(V30="А1",$AZ$7,IF(V30="Б2",$AZ$6,IF(V30="Б1",$BA$7,IF(V30="А2",$BA$6,IF(V30="Х","Х",IF(V30&lt;6," "," "))))))</f>
        <v> </v>
      </c>
      <c r="Y30" s="136"/>
      <c r="Z30" s="133" t="str">
        <f>IF(V30="Х","Х",IF(ISBLANK(Y30),"",IF(Y30&gt;2.5," ",IF(B30=BB$6,BB$7,BB$6))))</f>
        <v/>
      </c>
      <c r="AA30" s="136"/>
      <c r="AB30" s="240" t="str">
        <f>IF(H30="Х",F$5,IF(J30="Х",H$5,IF(L30="Х",J$5,IF(N30="Х",L$5,IF(P30="Х",N$5,IF(R30="Х",P$5,IF(T30="Х",R$5,IF(X30="Х",T$5,""))))))))</f>
        <v/>
      </c>
      <c r="AC30" s="138">
        <f>SUM(G30+I30+K30+M30+O30+Q30+S30+U30+Y30+AA30)</f>
        <v>0</v>
      </c>
      <c r="AD30" s="241" t="str">
        <f>AF30</f>
        <v>1-54</v>
      </c>
      <c r="AE30" s="140" t="str">
        <f>AD30</f>
        <v>1-54</v>
      </c>
      <c r="AF30" s="141" t="str">
        <f>COUNTIF(AG$6:AG$148,"&gt;"&amp;AG$6:AG$148)+1&amp;REPT("-"&amp;COUNTIF(AG$6:AG$148,"&gt;="&amp;AG$6:AG$148),COUNTIF(AG$6:AG$148,AG30)&gt;1)</f>
        <v>1-54</v>
      </c>
      <c r="AG30" s="142">
        <f>(AR30*100)+(AP30*10)-AC30</f>
        <v>1280</v>
      </c>
      <c r="AH30" s="143" t="str">
        <f>IF(OR(F30="Х",F30="св")," ",IF(AND(G30&gt;=0,G30&lt;3),"1"," "))</f>
        <v>1</v>
      </c>
      <c r="AI30" s="90" t="str">
        <f>IF(OR(H30="Х",H30="св")," ",IF(AND(I30&gt;=0,I30&lt;3),"1"," "))</f>
        <v>1</v>
      </c>
      <c r="AJ30" s="90" t="str">
        <f>IF(OR(J30="Х",J30="св")," ",IF(AND(K30&gt;=0,K30&lt;3),"1"," "))</f>
        <v>1</v>
      </c>
      <c r="AK30" s="90" t="str">
        <f>IF(OR(L30="Х",L30="св")," ",IF(AND(M30&gt;=0,M30&lt;3),"1"," "))</f>
        <v>1</v>
      </c>
      <c r="AL30" s="90" t="str">
        <f>IF(OR(N30="Х",N30="св")," ",IF(AND(O30&gt;=0,O30&lt;3),"1"," "))</f>
        <v>1</v>
      </c>
      <c r="AM30" s="90" t="str">
        <f>IF(OR(P30="Х",P30="св")," ",IF(AND(Q30&gt;=0,Q30&lt;3),"1"," "))</f>
        <v>1</v>
      </c>
      <c r="AN30" s="90" t="str">
        <f>IF(OR(R30="Х",R30="св")," ",IF(AND(S30&gt;=0,S30&lt;3),"1"," "))</f>
        <v>1</v>
      </c>
      <c r="AO30" s="90" t="str">
        <f>IF(OR(T30="Х",T30="св")," ",IF(AND(U30&gt;=0,U30&lt;3),"1"," "))</f>
        <v>1</v>
      </c>
      <c r="AP30" s="90">
        <f>COUNTIF(AH30:AO31,1)</f>
        <v>8</v>
      </c>
      <c r="AQ30" s="90">
        <f>AG30-AC30</f>
        <v>1280</v>
      </c>
      <c r="AR30" s="144">
        <f>IF(F30=0,0,IF(F30="Х",1,IF(H30="Х",2,IF(J30="Х",3,IF(L30="Х",4,IF(N30="Х",5,IF(P30="Х",6,IF(R30="Х",7,IF(T30="Х",8,IF(V30="Х",9,IF(Y30&gt;2.5,10,IF(AA30&gt;2.5,11,IF(AA30&gt;=0,12,IF(AA30=" ",0,))))))))))))))</f>
        <v>12</v>
      </c>
      <c r="AS30" s="90" t="str">
        <f>COUNTIF(AG$6:AG$134,"&gt;"&amp;AG$6:AG$134)+1&amp;REPT("-"&amp;COUNTIF(AG$6:AG$134,"&gt;="&amp;AG$6:AG$134),COUNTIF(AG$6:AG$134,AG30)&gt;1)</f>
        <v>1-54</v>
      </c>
      <c r="AT30" s="143" t="str">
        <f t="shared" ref="AT30:AW30" si="16">COUNTIF(AU$6:AU$134,"&gt;"&amp;AU$6:AU$134)+1&amp;REPT("-"&amp;COUNTIF(AU$6:AU$134,"&gt;="&amp;AU$6:AU$134),COUNTIF(AU$6:AU$134,AU30)&gt;1)</f>
        <v>1-64</v>
      </c>
      <c r="AU30" s="143" t="str">
        <f t="shared" si="16"/>
        <v>1-0</v>
      </c>
      <c r="AV30" s="143" t="str">
        <f t="shared" si="16"/>
        <v>1</v>
      </c>
      <c r="AW30" s="143" t="str">
        <f t="shared" si="16"/>
        <v>52</v>
      </c>
      <c r="AX30" s="145">
        <f>IF(X30="Х","Х",IF(Y30&lt;3,B30,"Х"))</f>
        <v>13</v>
      </c>
      <c r="AY30" s="222">
        <v>20.0</v>
      </c>
      <c r="AZ30" s="152"/>
      <c r="BA30" s="222">
        <v>20.0</v>
      </c>
      <c r="BB30" s="49"/>
      <c r="BC30" s="222">
        <v>20.0</v>
      </c>
      <c r="BD30" s="225">
        <v>20.0</v>
      </c>
      <c r="BE30" s="222">
        <v>20.0</v>
      </c>
      <c r="BF30" s="224">
        <v>20.0</v>
      </c>
      <c r="BG30" s="222">
        <v>20.0</v>
      </c>
      <c r="BH30" s="222">
        <v>20.0</v>
      </c>
      <c r="BI30" s="52"/>
      <c r="BJ30" s="52"/>
      <c r="BK30" s="52"/>
      <c r="BL30" s="52"/>
      <c r="BM30" s="195">
        <v>13.0</v>
      </c>
      <c r="BN30" s="196">
        <v>14.0</v>
      </c>
      <c r="BO30" s="153">
        <f>IF(BM30&lt;BN30,BM30,"")</f>
        <v>13</v>
      </c>
      <c r="BP30" s="196">
        <v>13.0</v>
      </c>
      <c r="BQ30" s="197">
        <f>IFERROR(__xludf.DUMMYFUNCTION("""COMPUTED_VALUE"""),25.0)</f>
        <v>25</v>
      </c>
      <c r="BR30" s="198">
        <v>13.0</v>
      </c>
      <c r="BS30" s="196">
        <v>15.0</v>
      </c>
      <c r="BT30" s="175">
        <f>IF(BR30&lt;BS30,BR30,"")</f>
        <v>13</v>
      </c>
      <c r="BU30" s="196">
        <v>13.0</v>
      </c>
      <c r="BV30" s="196">
        <f>IFERROR(__xludf.DUMMYFUNCTION("""COMPUTED_VALUE"""),25.0)</f>
        <v>25</v>
      </c>
      <c r="BW30" s="199">
        <v>13.0</v>
      </c>
      <c r="BX30" s="74" t="s">
        <v>361</v>
      </c>
      <c r="BY30" s="160">
        <f t="array" ref="BY30">IF(BW30&lt;BX30,BW30,"")</f>
        <v>13</v>
      </c>
      <c r="BZ30" s="160">
        <f t="shared" si="3"/>
        <v>13</v>
      </c>
      <c r="CA30" s="74">
        <f>IFERROR(__xludf.DUMMYFUNCTION("""COMPUTED_VALUE"""),25.0)</f>
        <v>25</v>
      </c>
      <c r="CB30" s="74">
        <f t="shared" si="4"/>
        <v>25</v>
      </c>
      <c r="CC30" s="200"/>
      <c r="CD30" s="243"/>
      <c r="CE30" s="200">
        <v>13.0</v>
      </c>
      <c r="CF30" s="25" t="s">
        <v>361</v>
      </c>
      <c r="CG30" s="153">
        <f t="array" ref="CG30">IF(CE30&lt;CF30,CE30,"")</f>
        <v>13</v>
      </c>
      <c r="CH30" s="74">
        <v>13.0</v>
      </c>
      <c r="CI30" s="182">
        <f>IFERROR(__xludf.DUMMYFUNCTION("""COMPUTED_VALUE"""),25.0)</f>
        <v>25</v>
      </c>
      <c r="CJ30" s="93">
        <v>13.0</v>
      </c>
      <c r="CK30" s="233" t="s">
        <v>361</v>
      </c>
      <c r="CL30" s="153">
        <f t="array" ref="CL30">IF(CJ30&lt;CK30,CJ30,"")</f>
        <v>13</v>
      </c>
      <c r="CM30" s="49">
        <v>13.0</v>
      </c>
      <c r="CN30" s="49">
        <f>IFERROR(__xludf.DUMMYFUNCTION("""COMPUTED_VALUE"""),25.0)</f>
        <v>25</v>
      </c>
      <c r="CO30" s="74">
        <v>13.0</v>
      </c>
      <c r="CP30" s="200" t="s">
        <v>361</v>
      </c>
      <c r="CQ30" s="153">
        <f t="array" ref="CQ30">IF(CO30&lt;CP30,CO30,"")</f>
        <v>13</v>
      </c>
      <c r="CR30" s="93">
        <v>13.0</v>
      </c>
      <c r="CS30" s="234">
        <f>IFERROR(__xludf.DUMMYFUNCTION("""COMPUTED_VALUE"""),25.0)</f>
        <v>25</v>
      </c>
      <c r="CT30" s="200">
        <v>13.0</v>
      </c>
      <c r="CU30" s="74" t="s">
        <v>361</v>
      </c>
      <c r="CV30" s="153">
        <f t="array" ref="CV30">IF(CT30&lt;CU30,CT30,"")</f>
        <v>13</v>
      </c>
      <c r="CW30" s="49">
        <v>13.0</v>
      </c>
      <c r="CX30" s="49">
        <f>IFERROR(__xludf.DUMMYFUNCTION("""COMPUTED_VALUE"""),25.0)</f>
        <v>25</v>
      </c>
      <c r="CY30" s="200">
        <v>13.0</v>
      </c>
      <c r="CZ30" s="74" t="s">
        <v>361</v>
      </c>
      <c r="DA30" s="153">
        <f t="array" ref="DA30">IF(CY30&lt;CZ30,CY30,"")</f>
        <v>13</v>
      </c>
      <c r="DB30" s="49">
        <v>13.0</v>
      </c>
      <c r="DC30" s="49">
        <f>IFERROR(__xludf.DUMMYFUNCTION("""COMPUTED_VALUE"""),25.0)</f>
        <v>25</v>
      </c>
      <c r="DD30" s="49">
        <v>13.0</v>
      </c>
      <c r="DE30" s="49"/>
      <c r="DF30" s="49"/>
      <c r="DG30" s="49"/>
      <c r="DH30" s="49"/>
    </row>
    <row r="31" ht="13.5" customHeight="1">
      <c r="A31" s="244"/>
      <c r="B31" s="165"/>
      <c r="C31" s="165"/>
      <c r="D31" s="165"/>
      <c r="E31" s="165"/>
      <c r="F31" s="166"/>
      <c r="G31" s="167"/>
      <c r="H31" s="168"/>
      <c r="I31" s="167"/>
      <c r="J31" s="168"/>
      <c r="K31" s="167"/>
      <c r="L31" s="168"/>
      <c r="M31" s="167"/>
      <c r="N31" s="168"/>
      <c r="O31" s="167"/>
      <c r="P31" s="168"/>
      <c r="Q31" s="167"/>
      <c r="R31" s="168"/>
      <c r="S31" s="167"/>
      <c r="T31" s="168"/>
      <c r="U31" s="169"/>
      <c r="V31" s="168"/>
      <c r="W31" s="169"/>
      <c r="X31" s="168"/>
      <c r="Y31" s="167"/>
      <c r="Z31" s="168"/>
      <c r="AA31" s="167"/>
      <c r="AB31" s="166"/>
      <c r="AC31" s="165"/>
      <c r="AD31" s="168"/>
      <c r="AE31" s="170"/>
      <c r="AF31" s="171"/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3"/>
      <c r="AV31" s="113"/>
      <c r="AW31" s="113"/>
      <c r="AY31" s="227">
        <v>21.0</v>
      </c>
      <c r="AZ31" s="152"/>
      <c r="BA31" s="228">
        <v>21.0</v>
      </c>
      <c r="BB31" s="49"/>
      <c r="BC31" s="227">
        <v>21.0</v>
      </c>
      <c r="BD31" s="225">
        <v>21.0</v>
      </c>
      <c r="BE31" s="227">
        <v>21.0</v>
      </c>
      <c r="BF31" s="224">
        <v>21.0</v>
      </c>
      <c r="BG31" s="227">
        <v>21.0</v>
      </c>
      <c r="BH31" s="227">
        <v>21.0</v>
      </c>
      <c r="BI31" s="49"/>
      <c r="BJ31" s="49"/>
      <c r="BK31" s="49"/>
      <c r="BL31" s="49"/>
      <c r="BM31" s="178"/>
      <c r="BO31" s="175">
        <f>IF(BO30="","",BN30)</f>
        <v>14</v>
      </c>
      <c r="BP31" s="175">
        <v>14.0</v>
      </c>
      <c r="BQ31" s="197">
        <f>IFERROR(__xludf.DUMMYFUNCTION("""COMPUTED_VALUE"""),26.0)</f>
        <v>26</v>
      </c>
      <c r="BT31" s="175">
        <f>IF(BT30="","",BS30)</f>
        <v>15</v>
      </c>
      <c r="BU31" s="175">
        <v>15.0</v>
      </c>
      <c r="BV31" s="196">
        <f>IFERROR(__xludf.DUMMYFUNCTION("""COMPUTED_VALUE"""),27.0)</f>
        <v>27</v>
      </c>
      <c r="BW31" s="178"/>
      <c r="BY31" s="160" t="str">
        <f>IF(BY30="","",BX30)</f>
        <v> </v>
      </c>
      <c r="BZ31" s="160" t="str">
        <f t="shared" si="3"/>
        <v> </v>
      </c>
      <c r="CA31" s="200">
        <f>IFERROR(__xludf.DUMMYFUNCTION("""COMPUTED_VALUE"""),26.0)</f>
        <v>26</v>
      </c>
      <c r="CB31" s="74">
        <f t="shared" si="4"/>
        <v>26</v>
      </c>
      <c r="CC31" s="200"/>
      <c r="CD31" s="243"/>
      <c r="CG31" s="180" t="str">
        <f>IF(CG30="","",CF30)</f>
        <v> </v>
      </c>
      <c r="CH31" s="200" t="s">
        <v>361</v>
      </c>
      <c r="CI31" s="182">
        <f>IFERROR(__xludf.DUMMYFUNCTION("""COMPUTED_VALUE"""),26.0)</f>
        <v>26</v>
      </c>
      <c r="CJ31" s="49" t="s">
        <v>362</v>
      </c>
      <c r="CK31" s="235"/>
      <c r="CL31" s="180" t="str">
        <f>IF(CL30="","",CK30)</f>
        <v> </v>
      </c>
      <c r="CM31" s="49" t="s">
        <v>361</v>
      </c>
      <c r="CN31" s="49">
        <f>IFERROR(__xludf.DUMMYFUNCTION("""COMPUTED_VALUE"""),26.0)</f>
        <v>26</v>
      </c>
      <c r="CQ31" s="180" t="str">
        <f>IF(CQ30="","",CP30)</f>
        <v> </v>
      </c>
      <c r="CR31" s="49" t="s">
        <v>361</v>
      </c>
      <c r="CS31" s="234">
        <f>IFERROR(__xludf.DUMMYFUNCTION("""COMPUTED_VALUE"""),26.0)</f>
        <v>26</v>
      </c>
      <c r="CV31" s="180" t="str">
        <f>IF(CV30="","",CU30)</f>
        <v> </v>
      </c>
      <c r="CW31" s="49" t="s">
        <v>361</v>
      </c>
      <c r="CX31" s="49">
        <f>IFERROR(__xludf.DUMMYFUNCTION("""COMPUTED_VALUE"""),26.0)</f>
        <v>26</v>
      </c>
      <c r="DA31" s="180" t="str">
        <f>IF(DA30="","",CZ30)</f>
        <v> </v>
      </c>
      <c r="DB31" s="49" t="s">
        <v>361</v>
      </c>
      <c r="DC31" s="49">
        <f>IFERROR(__xludf.DUMMYFUNCTION("""COMPUTED_VALUE"""),26.0)</f>
        <v>26</v>
      </c>
      <c r="DD31" s="49" t="s">
        <v>362</v>
      </c>
      <c r="DE31" s="49"/>
      <c r="DF31" s="49"/>
      <c r="DG31" s="49"/>
      <c r="DH31" s="49"/>
    </row>
    <row r="32" ht="13.5" customHeight="1">
      <c r="A32" s="118"/>
      <c r="B32" s="187">
        <v>14.0</v>
      </c>
      <c r="C32" s="188" t="str">
        <f>(VLOOKUP($B32,'Пр.взв'!$D$6:$J$63,2,0))</f>
        <v>СТАШ Тагир</v>
      </c>
      <c r="D32" s="189" t="str">
        <f>(VLOOKUP($B32,'Пр.взв'!$D$6:$J$63,5,0))</f>
        <v>КМС</v>
      </c>
      <c r="E32" s="190" t="str">
        <f>(VLOOKUP($B32,'Пр.взв'!$D$6:$M$63,8,0))</f>
        <v>Р.Адыгея</v>
      </c>
      <c r="F32" s="130">
        <f>B30</f>
        <v>13</v>
      </c>
      <c r="G32" s="131"/>
      <c r="H32" s="132">
        <v>16.0</v>
      </c>
      <c r="I32" s="131"/>
      <c r="J32" s="133" t="str">
        <f>IF(H32="Х","Х",IF($AC32&lt;6," ","Х"))</f>
        <v> </v>
      </c>
      <c r="K32" s="134"/>
      <c r="L32" s="133" t="str">
        <f>IF(J32="Х","Х",IF(K32&lt;3," ",IF($AC32&lt;6," ","Х")))</f>
        <v> </v>
      </c>
      <c r="M32" s="134"/>
      <c r="N32" s="133" t="str">
        <f>IF(L32="Х","Х",IF(M32&lt;3," ",IF($AC32&lt;6," ","Х")))</f>
        <v> </v>
      </c>
      <c r="O32" s="134"/>
      <c r="P32" s="133" t="str">
        <f>IF(N32="Х","Х",IF(O32&lt;3," ",IF($AC32&lt;6," ","Х")))</f>
        <v> </v>
      </c>
      <c r="Q32" s="134"/>
      <c r="R32" s="133" t="str">
        <f>IF(P32="Х","Х",IF(Q32&lt;3," ",IF($AC32&lt;6," ","Х")))</f>
        <v> </v>
      </c>
      <c r="S32" s="134"/>
      <c r="T32" s="133" t="str">
        <f>IF(R32="Х","Х",IF(S32&lt;3," ",IF($AC32&lt;6," ","Х")))</f>
        <v> </v>
      </c>
      <c r="U32" s="135"/>
      <c r="V32" s="133" t="str">
        <f>IF(T32="Х","Х",IF(U32&lt;3," ",IF($AC32&lt;6," ","Х")))</f>
        <v> </v>
      </c>
      <c r="W32" s="135"/>
      <c r="X32" s="133" t="str">
        <f>IF(V32="А1",$AZ$7,IF(V32="Б2",$AZ$6,IF(V32="Б1",$BA$7,IF(V32="А2",$BA$6,IF(V32="Х","Х",IF(V32&lt;6," "," "))))))</f>
        <v> </v>
      </c>
      <c r="Y32" s="136"/>
      <c r="Z32" s="133" t="str">
        <f>IF(V32="Х","Х",IF(ISBLANK(Y32),"",IF(Y32&gt;2.5," ",IF(B32=BB$6,BB$7,BB$6))))</f>
        <v/>
      </c>
      <c r="AA32" s="136"/>
      <c r="AB32" s="240" t="str">
        <f>IF(H32="Х",F$5,IF(J32="Х",H$5,IF(L32="Х",J$5,IF(N32="Х",L$5,IF(P32="Х",N$5,IF(R32="Х",P$5,IF(T32="Х",R$5,IF(X32="Х",T$5,""))))))))</f>
        <v/>
      </c>
      <c r="AC32" s="138">
        <f>SUM(G32+I32+K32+M32+O32+Q32+S32+U32+Y32+AA32)</f>
        <v>0</v>
      </c>
      <c r="AD32" s="241" t="str">
        <f>AF32</f>
        <v>1-54</v>
      </c>
      <c r="AE32" s="140" t="str">
        <f>AD32</f>
        <v>1-54</v>
      </c>
      <c r="AF32" s="141" t="str">
        <f>COUNTIF(AG$6:AG$148,"&gt;"&amp;AG$6:AG$148)+1&amp;REPT("-"&amp;COUNTIF(AG$6:AG$148,"&gt;="&amp;AG$6:AG$148),COUNTIF(AG$6:AG$148,AG32)&gt;1)</f>
        <v>1-54</v>
      </c>
      <c r="AG32" s="142">
        <f>(AR32*100)+(AP32*10)-AC32</f>
        <v>1280</v>
      </c>
      <c r="AH32" s="143" t="str">
        <f>IF(OR(F32="Х",F32="св")," ",IF(AND(G32&gt;=0,G32&lt;3),"1"," "))</f>
        <v>1</v>
      </c>
      <c r="AI32" s="90" t="str">
        <f>IF(OR(H32="Х",H32="св")," ",IF(AND(I32&gt;=0,I32&lt;3),"1"," "))</f>
        <v>1</v>
      </c>
      <c r="AJ32" s="90" t="str">
        <f>IF(OR(J32="Х",J32="св")," ",IF(AND(K32&gt;=0,K32&lt;3),"1"," "))</f>
        <v>1</v>
      </c>
      <c r="AK32" s="90" t="str">
        <f>IF(OR(L32="Х",L32="св")," ",IF(AND(M32&gt;=0,M32&lt;3),"1"," "))</f>
        <v>1</v>
      </c>
      <c r="AL32" s="90" t="str">
        <f>IF(OR(N32="Х",N32="св")," ",IF(AND(O32&gt;=0,O32&lt;3),"1"," "))</f>
        <v>1</v>
      </c>
      <c r="AM32" s="90" t="str">
        <f>IF(OR(P32="Х",P32="св")," ",IF(AND(Q32&gt;=0,Q32&lt;3),"1"," "))</f>
        <v>1</v>
      </c>
      <c r="AN32" s="90" t="str">
        <f>IF(OR(R32="Х",R32="св")," ",IF(AND(S32&gt;=0,S32&lt;3),"1"," "))</f>
        <v>1</v>
      </c>
      <c r="AO32" s="90" t="str">
        <f>IF(OR(T32="Х",T32="св")," ",IF(AND(U32&gt;=0,U32&lt;3),"1"," "))</f>
        <v>1</v>
      </c>
      <c r="AP32" s="90">
        <f>COUNTIF(AH32:AO33,1)</f>
        <v>8</v>
      </c>
      <c r="AQ32" s="90">
        <f>AG32-AC32</f>
        <v>1280</v>
      </c>
      <c r="AR32" s="144">
        <f>IF(F32=0,0,IF(F32="Х",1,IF(H32="Х",2,IF(J32="Х",3,IF(L32="Х",4,IF(N32="Х",5,IF(P32="Х",6,IF(R32="Х",7,IF(T32="Х",8,IF(V32="Х",9,IF(Y32&gt;2.5,10,IF(AA32&gt;2.5,11,IF(AA32&gt;=0,12,IF(AA32=" ",0,))))))))))))))</f>
        <v>12</v>
      </c>
      <c r="AS32" s="90" t="str">
        <f>COUNTIF(AG$6:AG$134,"&gt;"&amp;AG$6:AG$134)+1&amp;REPT("-"&amp;COUNTIF(AG$6:AG$134,"&gt;="&amp;AG$6:AG$134),COUNTIF(AG$6:AG$134,AG32)&gt;1)</f>
        <v>1-54</v>
      </c>
      <c r="AT32" s="143" t="str">
        <f t="shared" ref="AT32:AW32" si="17">COUNTIF(AU$6:AU$134,"&gt;"&amp;AU$6:AU$134)+1&amp;REPT("-"&amp;COUNTIF(AU$6:AU$134,"&gt;="&amp;AU$6:AU$134),COUNTIF(AU$6:AU$134,AU32)&gt;1)</f>
        <v>1-64</v>
      </c>
      <c r="AU32" s="143" t="str">
        <f t="shared" si="17"/>
        <v>1-0</v>
      </c>
      <c r="AV32" s="143" t="str">
        <f t="shared" si="17"/>
        <v>1</v>
      </c>
      <c r="AW32" s="143" t="str">
        <f t="shared" si="17"/>
        <v>51</v>
      </c>
      <c r="AX32" s="145">
        <f>IF(X32="Х","Х",IF(Y32&lt;3,B32,"Х"))</f>
        <v>14</v>
      </c>
      <c r="AY32" s="222">
        <v>22.0</v>
      </c>
      <c r="AZ32" s="152"/>
      <c r="BA32" s="222">
        <v>22.0</v>
      </c>
      <c r="BB32" s="49"/>
      <c r="BC32" s="222">
        <v>22.0</v>
      </c>
      <c r="BD32" s="225">
        <v>22.0</v>
      </c>
      <c r="BE32" s="222">
        <v>22.0</v>
      </c>
      <c r="BF32" s="224">
        <v>23.0</v>
      </c>
      <c r="BG32" s="222">
        <v>22.0</v>
      </c>
      <c r="BH32" s="222">
        <v>22.0</v>
      </c>
      <c r="BI32" s="49"/>
      <c r="BJ32" s="49"/>
      <c r="BK32" s="49"/>
      <c r="BL32" s="49"/>
      <c r="BM32" s="195">
        <v>14.0</v>
      </c>
      <c r="BN32" s="196">
        <v>13.0</v>
      </c>
      <c r="BO32" s="153" t="str">
        <f>IF(BM32&lt;BN32,BM32,"")</f>
        <v/>
      </c>
      <c r="BP32" s="196" t="s">
        <v>362</v>
      </c>
      <c r="BQ32" s="197">
        <f>IFERROR(__xludf.DUMMYFUNCTION("""COMPUTED_VALUE"""),27.0)</f>
        <v>27</v>
      </c>
      <c r="BR32" s="198">
        <v>14.0</v>
      </c>
      <c r="BS32" s="196">
        <v>16.0</v>
      </c>
      <c r="BT32" s="175">
        <f>IF(BR32&lt;BS32,BR32,"")</f>
        <v>14</v>
      </c>
      <c r="BU32" s="196">
        <v>14.0</v>
      </c>
      <c r="BV32" s="196">
        <f>IFERROR(__xludf.DUMMYFUNCTION("""COMPUTED_VALUE"""),26.0)</f>
        <v>26</v>
      </c>
      <c r="BW32" s="199">
        <v>14.0</v>
      </c>
      <c r="BX32" s="74" t="s">
        <v>361</v>
      </c>
      <c r="BY32" s="160">
        <f t="array" ref="BY32">IF(BW32&lt;BX32,BW32,"")</f>
        <v>14</v>
      </c>
      <c r="BZ32" s="160">
        <f t="shared" si="3"/>
        <v>14</v>
      </c>
      <c r="CA32" s="74">
        <f>IFERROR(__xludf.DUMMYFUNCTION("""COMPUTED_VALUE"""),27.0)</f>
        <v>27</v>
      </c>
      <c r="CB32" s="74">
        <f t="shared" si="4"/>
        <v>27</v>
      </c>
      <c r="CC32" s="200"/>
      <c r="CD32" s="243"/>
      <c r="CE32" s="200">
        <v>14.0</v>
      </c>
      <c r="CF32" s="25" t="s">
        <v>361</v>
      </c>
      <c r="CG32" s="153">
        <f t="array" ref="CG32">IF(CE32&lt;CF32,CE32,"")</f>
        <v>14</v>
      </c>
      <c r="CH32" s="74">
        <v>14.0</v>
      </c>
      <c r="CI32" s="182">
        <f>IFERROR(__xludf.DUMMYFUNCTION("""COMPUTED_VALUE"""),27.0)</f>
        <v>27</v>
      </c>
      <c r="CJ32" s="93">
        <v>14.0</v>
      </c>
      <c r="CK32" s="233" t="s">
        <v>361</v>
      </c>
      <c r="CL32" s="153">
        <f t="array" ref="CL32">IF(CJ32&lt;CK32,CJ32,"")</f>
        <v>14</v>
      </c>
      <c r="CM32" s="49">
        <v>14.0</v>
      </c>
      <c r="CN32" s="49">
        <f>IFERROR(__xludf.DUMMYFUNCTION("""COMPUTED_VALUE"""),27.0)</f>
        <v>27</v>
      </c>
      <c r="CO32" s="74">
        <v>14.0</v>
      </c>
      <c r="CP32" s="200" t="s">
        <v>361</v>
      </c>
      <c r="CQ32" s="153">
        <f t="array" ref="CQ32">IF(CO32&lt;CP32,CO32,"")</f>
        <v>14</v>
      </c>
      <c r="CR32" s="93">
        <v>14.0</v>
      </c>
      <c r="CS32" s="234">
        <f>IFERROR(__xludf.DUMMYFUNCTION("""COMPUTED_VALUE"""),27.0)</f>
        <v>27</v>
      </c>
      <c r="CT32" s="200">
        <v>14.0</v>
      </c>
      <c r="CU32" s="74" t="s">
        <v>361</v>
      </c>
      <c r="CV32" s="153">
        <f t="array" ref="CV32">IF(CT32&lt;CU32,CT32,"")</f>
        <v>14</v>
      </c>
      <c r="CW32" s="49">
        <v>14.0</v>
      </c>
      <c r="CX32" s="49">
        <f>IFERROR(__xludf.DUMMYFUNCTION("""COMPUTED_VALUE"""),27.0)</f>
        <v>27</v>
      </c>
      <c r="CY32" s="200">
        <v>14.0</v>
      </c>
      <c r="CZ32" s="74" t="s">
        <v>361</v>
      </c>
      <c r="DA32" s="153">
        <f t="array" ref="DA32">IF(CY32&lt;CZ32,CY32,"")</f>
        <v>14</v>
      </c>
      <c r="DB32" s="49">
        <v>14.0</v>
      </c>
      <c r="DC32" s="49">
        <f>IFERROR(__xludf.DUMMYFUNCTION("""COMPUTED_VALUE"""),27.0)</f>
        <v>27</v>
      </c>
      <c r="DD32" s="49">
        <v>14.0</v>
      </c>
      <c r="DE32" s="49"/>
      <c r="DF32" s="49"/>
      <c r="DG32" s="49"/>
      <c r="DH32" s="49"/>
    </row>
    <row r="33" ht="13.5" customHeight="1">
      <c r="A33" s="118"/>
      <c r="B33" s="165"/>
      <c r="C33" s="165"/>
      <c r="D33" s="165"/>
      <c r="E33" s="165"/>
      <c r="F33" s="166"/>
      <c r="G33" s="167"/>
      <c r="H33" s="168"/>
      <c r="I33" s="167"/>
      <c r="J33" s="168"/>
      <c r="K33" s="167"/>
      <c r="L33" s="168"/>
      <c r="M33" s="167"/>
      <c r="N33" s="168"/>
      <c r="O33" s="167"/>
      <c r="P33" s="168"/>
      <c r="Q33" s="167"/>
      <c r="R33" s="168"/>
      <c r="S33" s="167"/>
      <c r="T33" s="168"/>
      <c r="U33" s="169"/>
      <c r="V33" s="168"/>
      <c r="W33" s="169"/>
      <c r="X33" s="168"/>
      <c r="Y33" s="167"/>
      <c r="Z33" s="168"/>
      <c r="AA33" s="167"/>
      <c r="AB33" s="166"/>
      <c r="AC33" s="165"/>
      <c r="AD33" s="168"/>
      <c r="AE33" s="170"/>
      <c r="AF33" s="171"/>
      <c r="AG33" s="113"/>
      <c r="AH33" s="11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  <c r="AW33" s="113"/>
      <c r="AY33" s="227">
        <v>23.0</v>
      </c>
      <c r="AZ33" s="152"/>
      <c r="BA33" s="228">
        <v>23.0</v>
      </c>
      <c r="BB33" s="49"/>
      <c r="BC33" s="227">
        <v>23.0</v>
      </c>
      <c r="BD33" s="225">
        <v>23.0</v>
      </c>
      <c r="BE33" s="227">
        <v>23.0</v>
      </c>
      <c r="BF33" s="224">
        <v>22.0</v>
      </c>
      <c r="BG33" s="227">
        <v>23.0</v>
      </c>
      <c r="BH33" s="227">
        <v>23.0</v>
      </c>
      <c r="BI33" s="49"/>
      <c r="BJ33" s="49"/>
      <c r="BK33" s="49"/>
      <c r="BL33" s="49"/>
      <c r="BM33" s="178"/>
      <c r="BO33" s="175" t="str">
        <f>IF(BO32="","",BN32)</f>
        <v/>
      </c>
      <c r="BP33" s="175" t="s">
        <v>362</v>
      </c>
      <c r="BQ33" s="197">
        <f>IFERROR(__xludf.DUMMYFUNCTION("""COMPUTED_VALUE"""),28.0)</f>
        <v>28</v>
      </c>
      <c r="BT33" s="175">
        <f>IF(BT32="","",BS32)</f>
        <v>16</v>
      </c>
      <c r="BU33" s="175">
        <v>16.0</v>
      </c>
      <c r="BV33" s="196">
        <f>IFERROR(__xludf.DUMMYFUNCTION("""COMPUTED_VALUE"""),29.0)</f>
        <v>29</v>
      </c>
      <c r="BW33" s="178"/>
      <c r="BY33" s="160" t="str">
        <f>IF(BY32="","",BX32)</f>
        <v> </v>
      </c>
      <c r="BZ33" s="160" t="str">
        <f t="shared" si="3"/>
        <v> </v>
      </c>
      <c r="CA33" s="200">
        <f>IFERROR(__xludf.DUMMYFUNCTION("""COMPUTED_VALUE"""),28.0)</f>
        <v>28</v>
      </c>
      <c r="CB33" s="74">
        <f t="shared" si="4"/>
        <v>28</v>
      </c>
      <c r="CC33" s="200"/>
      <c r="CD33" s="243"/>
      <c r="CG33" s="180" t="str">
        <f>IF(CG32="","",CF32)</f>
        <v> </v>
      </c>
      <c r="CH33" s="200" t="s">
        <v>361</v>
      </c>
      <c r="CI33" s="182">
        <f>IFERROR(__xludf.DUMMYFUNCTION("""COMPUTED_VALUE"""),28.0)</f>
        <v>28</v>
      </c>
      <c r="CJ33" s="49" t="s">
        <v>362</v>
      </c>
      <c r="CK33" s="235"/>
      <c r="CL33" s="180" t="str">
        <f>IF(CL32="","",CK32)</f>
        <v> </v>
      </c>
      <c r="CM33" s="49" t="s">
        <v>361</v>
      </c>
      <c r="CN33" s="49">
        <f>IFERROR(__xludf.DUMMYFUNCTION("""COMPUTED_VALUE"""),28.0)</f>
        <v>28</v>
      </c>
      <c r="CQ33" s="180" t="str">
        <f>IF(CQ32="","",CP32)</f>
        <v> </v>
      </c>
      <c r="CR33" s="49" t="s">
        <v>361</v>
      </c>
      <c r="CS33" s="234">
        <f>IFERROR(__xludf.DUMMYFUNCTION("""COMPUTED_VALUE"""),28.0)</f>
        <v>28</v>
      </c>
      <c r="CV33" s="180" t="str">
        <f>IF(CV32="","",CU32)</f>
        <v> </v>
      </c>
      <c r="CW33" s="49" t="s">
        <v>361</v>
      </c>
      <c r="CX33" s="49">
        <f>IFERROR(__xludf.DUMMYFUNCTION("""COMPUTED_VALUE"""),28.0)</f>
        <v>28</v>
      </c>
      <c r="DA33" s="180" t="str">
        <f>IF(DA32="","",CZ32)</f>
        <v> </v>
      </c>
      <c r="DB33" s="49" t="s">
        <v>361</v>
      </c>
      <c r="DC33" s="49">
        <f>IFERROR(__xludf.DUMMYFUNCTION("""COMPUTED_VALUE"""),28.0)</f>
        <v>28</v>
      </c>
      <c r="DD33" s="49" t="s">
        <v>362</v>
      </c>
      <c r="DE33" s="49"/>
      <c r="DF33" s="49"/>
      <c r="DG33" s="49"/>
      <c r="DH33" s="49"/>
    </row>
    <row r="34" ht="13.5" customHeight="1">
      <c r="A34" s="118"/>
      <c r="B34" s="187">
        <v>15.0</v>
      </c>
      <c r="C34" s="188" t="str">
        <f>(VLOOKUP($B34,'Пр.взв'!$D$6:$J$63,2,0))</f>
        <v>ЧИЧКОВ Дмитрий </v>
      </c>
      <c r="D34" s="189" t="str">
        <f>(VLOOKUP($B34,'Пр.взв'!$D$6:$J$63,5,0))</f>
        <v>КМС</v>
      </c>
      <c r="E34" s="190" t="str">
        <f>(VLOOKUP($B34,'Пр.взв'!$D$6:$M$63,8,0))</f>
        <v>Московская</v>
      </c>
      <c r="F34" s="130">
        <f>B36</f>
        <v>16</v>
      </c>
      <c r="G34" s="131"/>
      <c r="H34" s="132">
        <v>13.0</v>
      </c>
      <c r="I34" s="131"/>
      <c r="J34" s="133" t="str">
        <f>IF(H34="Х","Х",IF($AC34&lt;6," ","Х"))</f>
        <v> </v>
      </c>
      <c r="K34" s="134"/>
      <c r="L34" s="133" t="str">
        <f>IF(J34="Х","Х",IF(K34&lt;3," ",IF($AC34&lt;6," ","Х")))</f>
        <v> </v>
      </c>
      <c r="M34" s="134"/>
      <c r="N34" s="133" t="str">
        <f>IF(L34="Х","Х",IF(M34&lt;3," ",IF($AC34&lt;6," ","Х")))</f>
        <v> </v>
      </c>
      <c r="O34" s="134"/>
      <c r="P34" s="133" t="str">
        <f>IF(N34="Х","Х",IF(O34&lt;3," ",IF($AC34&lt;6," ","Х")))</f>
        <v> </v>
      </c>
      <c r="Q34" s="134"/>
      <c r="R34" s="133" t="str">
        <f>IF(P34="Х","Х",IF(Q34&lt;3," ",IF($AC34&lt;6," ","Х")))</f>
        <v> </v>
      </c>
      <c r="S34" s="134"/>
      <c r="T34" s="133" t="str">
        <f>IF(R34="Х","Х",IF(S34&lt;3," ",IF($AC34&lt;6," ","Х")))</f>
        <v> </v>
      </c>
      <c r="U34" s="135"/>
      <c r="V34" s="133" t="str">
        <f>IF(T34="Х","Х",IF(U34&lt;3," ",IF($AC34&lt;6," ","Х")))</f>
        <v> </v>
      </c>
      <c r="W34" s="135"/>
      <c r="X34" s="133" t="str">
        <f>IF(V34="А1",$AZ$7,IF(V34="Б2",$AZ$6,IF(V34="Б1",$BA$7,IF(V34="А2",$BA$6,IF(V34="Х","Х",IF(V34&lt;6," "," "))))))</f>
        <v> </v>
      </c>
      <c r="Y34" s="136"/>
      <c r="Z34" s="133" t="str">
        <f>IF(V34="Х","Х",IF(ISBLANK(Y34),"",IF(Y34&gt;2.5," ",IF(B34=BB$6,BB$7,BB$6))))</f>
        <v/>
      </c>
      <c r="AA34" s="136"/>
      <c r="AB34" s="240" t="str">
        <f>IF(H34="Х",F$5,IF(J34="Х",H$5,IF(L34="Х",J$5,IF(N34="Х",L$5,IF(P34="Х",N$5,IF(R34="Х",P$5,IF(T34="Х",R$5,IF(X34="Х",T$5,""))))))))</f>
        <v/>
      </c>
      <c r="AC34" s="138">
        <f>SUM(G34+I34+K34+M34+O34+Q34+S34+U34+Y34+AA34)</f>
        <v>0</v>
      </c>
      <c r="AD34" s="241" t="str">
        <f>AF34</f>
        <v>1-54</v>
      </c>
      <c r="AE34" s="140" t="str">
        <f>AD34</f>
        <v>1-54</v>
      </c>
      <c r="AF34" s="141" t="str">
        <f>COUNTIF(AG$6:AG$148,"&gt;"&amp;AG$6:AG$148)+1&amp;REPT("-"&amp;COUNTIF(AG$6:AG$148,"&gt;="&amp;AG$6:AG$148),COUNTIF(AG$6:AG$148,AG34)&gt;1)</f>
        <v>1-54</v>
      </c>
      <c r="AG34" s="142">
        <f>(AR34*100)+(AP34*10)-AC34</f>
        <v>1280</v>
      </c>
      <c r="AH34" s="143" t="str">
        <f>IF(OR(F34="Х",F34="св")," ",IF(AND(G34&gt;=0,G34&lt;3),"1"," "))</f>
        <v>1</v>
      </c>
      <c r="AI34" s="90" t="str">
        <f>IF(OR(H34="Х",H34="св")," ",IF(AND(I34&gt;=0,I34&lt;3),"1"," "))</f>
        <v>1</v>
      </c>
      <c r="AJ34" s="90" t="str">
        <f>IF(OR(J34="Х",J34="св")," ",IF(AND(K34&gt;=0,K34&lt;3),"1"," "))</f>
        <v>1</v>
      </c>
      <c r="AK34" s="90" t="str">
        <f>IF(OR(L34="Х",L34="св")," ",IF(AND(M34&gt;=0,M34&lt;3),"1"," "))</f>
        <v>1</v>
      </c>
      <c r="AL34" s="90" t="str">
        <f>IF(OR(N34="Х",N34="св")," ",IF(AND(O34&gt;=0,O34&lt;3),"1"," "))</f>
        <v>1</v>
      </c>
      <c r="AM34" s="90" t="str">
        <f>IF(OR(P34="Х",P34="св")," ",IF(AND(Q34&gt;=0,Q34&lt;3),"1"," "))</f>
        <v>1</v>
      </c>
      <c r="AN34" s="90" t="str">
        <f>IF(OR(R34="Х",R34="св")," ",IF(AND(S34&gt;=0,S34&lt;3),"1"," "))</f>
        <v>1</v>
      </c>
      <c r="AO34" s="90" t="str">
        <f>IF(OR(T34="Х",T34="св")," ",IF(AND(U34&gt;=0,U34&lt;3),"1"," "))</f>
        <v>1</v>
      </c>
      <c r="AP34" s="90">
        <f>COUNTIF(AH34:AO35,1)</f>
        <v>8</v>
      </c>
      <c r="AQ34" s="90">
        <f>AG34-AC34</f>
        <v>1280</v>
      </c>
      <c r="AR34" s="144">
        <f>IF(F34=0,0,IF(F34="Х",1,IF(H34="Х",2,IF(J34="Х",3,IF(L34="Х",4,IF(N34="Х",5,IF(P34="Х",6,IF(R34="Х",7,IF(T34="Х",8,IF(V34="Х",9,IF(Y34&gt;2.5,10,IF(AA34&gt;2.5,11,IF(AA34&gt;=0,12,IF(AA34=" ",0,))))))))))))))</f>
        <v>12</v>
      </c>
      <c r="AS34" s="90" t="str">
        <f>COUNTIF(AG$6:AG$134,"&gt;"&amp;AG$6:AG$134)+1&amp;REPT("-"&amp;COUNTIF(AG$6:AG$134,"&gt;="&amp;AG$6:AG$134),COUNTIF(AG$6:AG$134,AG34)&gt;1)</f>
        <v>1-54</v>
      </c>
      <c r="AT34" s="143" t="str">
        <f t="shared" ref="AT34:AW34" si="18">COUNTIF(AU$6:AU$134,"&gt;"&amp;AU$6:AU$134)+1&amp;REPT("-"&amp;COUNTIF(AU$6:AU$134,"&gt;="&amp;AU$6:AU$134),COUNTIF(AU$6:AU$134,AU34)&gt;1)</f>
        <v>1-64</v>
      </c>
      <c r="AU34" s="143" t="str">
        <f t="shared" si="18"/>
        <v>1-0</v>
      </c>
      <c r="AV34" s="143" t="str">
        <f t="shared" si="18"/>
        <v>1</v>
      </c>
      <c r="AW34" s="143" t="str">
        <f t="shared" si="18"/>
        <v>50</v>
      </c>
      <c r="AX34" s="145">
        <f>IF(X34="Х","Х",IF(Y34&lt;3,B34,"Х"))</f>
        <v>15</v>
      </c>
      <c r="AY34" s="222">
        <v>24.0</v>
      </c>
      <c r="AZ34" s="152"/>
      <c r="BA34" s="222">
        <v>24.0</v>
      </c>
      <c r="BB34" s="49"/>
      <c r="BC34" s="222">
        <v>24.0</v>
      </c>
      <c r="BD34" s="225">
        <v>24.0</v>
      </c>
      <c r="BE34" s="222">
        <v>24.0</v>
      </c>
      <c r="BF34" s="224">
        <v>24.0</v>
      </c>
      <c r="BG34" s="222">
        <v>24.0</v>
      </c>
      <c r="BH34" s="222">
        <v>24.0</v>
      </c>
      <c r="BI34" s="49"/>
      <c r="BJ34" s="49"/>
      <c r="BK34" s="49"/>
      <c r="BL34" s="49"/>
      <c r="BM34" s="195">
        <v>15.0</v>
      </c>
      <c r="BN34" s="196">
        <v>16.0</v>
      </c>
      <c r="BO34" s="153">
        <f>IF(BM34&lt;BN34,BM34,"")</f>
        <v>15</v>
      </c>
      <c r="BP34" s="196">
        <v>15.0</v>
      </c>
      <c r="BQ34" s="197">
        <f>IFERROR(__xludf.DUMMYFUNCTION("""COMPUTED_VALUE"""),29.0)</f>
        <v>29</v>
      </c>
      <c r="BR34" s="198">
        <v>15.0</v>
      </c>
      <c r="BS34" s="196">
        <v>13.0</v>
      </c>
      <c r="BT34" s="175" t="str">
        <f>IF(BR34&lt;BS34,BR34,"")</f>
        <v/>
      </c>
      <c r="BU34" s="196" t="s">
        <v>362</v>
      </c>
      <c r="BV34" s="196">
        <f>IFERROR(__xludf.DUMMYFUNCTION("""COMPUTED_VALUE"""),28.0)</f>
        <v>28</v>
      </c>
      <c r="BW34" s="199">
        <v>15.0</v>
      </c>
      <c r="BX34" s="74" t="s">
        <v>361</v>
      </c>
      <c r="BY34" s="160">
        <f t="array" ref="BY34">IF(BW34&lt;BX34,BW34,"")</f>
        <v>15</v>
      </c>
      <c r="BZ34" s="160">
        <f t="shared" si="3"/>
        <v>15</v>
      </c>
      <c r="CA34" s="74">
        <f>IFERROR(__xludf.DUMMYFUNCTION("""COMPUTED_VALUE"""),29.0)</f>
        <v>29</v>
      </c>
      <c r="CB34" s="74">
        <f t="shared" si="4"/>
        <v>29</v>
      </c>
      <c r="CC34" s="200"/>
      <c r="CD34" s="243"/>
      <c r="CE34" s="200">
        <v>15.0</v>
      </c>
      <c r="CF34" s="25" t="s">
        <v>361</v>
      </c>
      <c r="CG34" s="153">
        <f t="array" ref="CG34">IF(CE34&lt;CF34,CE34,"")</f>
        <v>15</v>
      </c>
      <c r="CH34" s="74">
        <v>15.0</v>
      </c>
      <c r="CI34" s="182">
        <f>IFERROR(__xludf.DUMMYFUNCTION("""COMPUTED_VALUE"""),29.0)</f>
        <v>29</v>
      </c>
      <c r="CJ34" s="93">
        <v>15.0</v>
      </c>
      <c r="CK34" s="233" t="s">
        <v>361</v>
      </c>
      <c r="CL34" s="153">
        <f t="array" ref="CL34">IF(CJ34&lt;CK34,CJ34,"")</f>
        <v>15</v>
      </c>
      <c r="CM34" s="49">
        <v>15.0</v>
      </c>
      <c r="CN34" s="49">
        <f>IFERROR(__xludf.DUMMYFUNCTION("""COMPUTED_VALUE"""),29.0)</f>
        <v>29</v>
      </c>
      <c r="CO34" s="74">
        <v>15.0</v>
      </c>
      <c r="CP34" s="200" t="s">
        <v>361</v>
      </c>
      <c r="CQ34" s="153">
        <f t="array" ref="CQ34">IF(CO34&lt;CP34,CO34,"")</f>
        <v>15</v>
      </c>
      <c r="CR34" s="93">
        <v>15.0</v>
      </c>
      <c r="CS34" s="234">
        <f>IFERROR(__xludf.DUMMYFUNCTION("""COMPUTED_VALUE"""),29.0)</f>
        <v>29</v>
      </c>
      <c r="CT34" s="200">
        <v>15.0</v>
      </c>
      <c r="CU34" s="74" t="s">
        <v>361</v>
      </c>
      <c r="CV34" s="153">
        <f t="array" ref="CV34">IF(CT34&lt;CU34,CT34,"")</f>
        <v>15</v>
      </c>
      <c r="CW34" s="49">
        <v>15.0</v>
      </c>
      <c r="CX34" s="49">
        <f>IFERROR(__xludf.DUMMYFUNCTION("""COMPUTED_VALUE"""),29.0)</f>
        <v>29</v>
      </c>
      <c r="CY34" s="200">
        <v>15.0</v>
      </c>
      <c r="CZ34" s="74" t="s">
        <v>361</v>
      </c>
      <c r="DA34" s="153">
        <f t="array" ref="DA34">IF(CY34&lt;CZ34,CY34,"")</f>
        <v>15</v>
      </c>
      <c r="DB34" s="49">
        <v>15.0</v>
      </c>
      <c r="DC34" s="49">
        <f>IFERROR(__xludf.DUMMYFUNCTION("""COMPUTED_VALUE"""),29.0)</f>
        <v>29</v>
      </c>
      <c r="DD34" s="49">
        <v>15.0</v>
      </c>
      <c r="DE34" s="49"/>
      <c r="DF34" s="49"/>
      <c r="DG34" s="49"/>
      <c r="DH34" s="49"/>
    </row>
    <row r="35" ht="13.5" customHeight="1">
      <c r="A35" s="118"/>
      <c r="B35" s="165"/>
      <c r="C35" s="165"/>
      <c r="D35" s="165"/>
      <c r="E35" s="165"/>
      <c r="F35" s="166"/>
      <c r="G35" s="167"/>
      <c r="H35" s="168"/>
      <c r="I35" s="167"/>
      <c r="J35" s="168"/>
      <c r="K35" s="167"/>
      <c r="L35" s="168"/>
      <c r="M35" s="167"/>
      <c r="N35" s="168"/>
      <c r="O35" s="167"/>
      <c r="P35" s="168"/>
      <c r="Q35" s="167"/>
      <c r="R35" s="168"/>
      <c r="S35" s="167"/>
      <c r="T35" s="168"/>
      <c r="U35" s="169"/>
      <c r="V35" s="168"/>
      <c r="W35" s="169"/>
      <c r="X35" s="168"/>
      <c r="Y35" s="167"/>
      <c r="Z35" s="168"/>
      <c r="AA35" s="167"/>
      <c r="AB35" s="166"/>
      <c r="AC35" s="165"/>
      <c r="AD35" s="168"/>
      <c r="AE35" s="170"/>
      <c r="AF35" s="171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Y35" s="227">
        <v>25.0</v>
      </c>
      <c r="AZ35" s="152"/>
      <c r="BA35" s="228">
        <v>25.0</v>
      </c>
      <c r="BB35" s="49"/>
      <c r="BC35" s="227">
        <v>25.0</v>
      </c>
      <c r="BD35" s="225">
        <v>25.0</v>
      </c>
      <c r="BE35" s="227">
        <v>25.0</v>
      </c>
      <c r="BF35" s="224">
        <v>25.0</v>
      </c>
      <c r="BG35" s="227">
        <v>25.0</v>
      </c>
      <c r="BH35" s="227">
        <v>25.0</v>
      </c>
      <c r="BI35" s="49"/>
      <c r="BJ35" s="49"/>
      <c r="BK35" s="49"/>
      <c r="BL35" s="49"/>
      <c r="BM35" s="178"/>
      <c r="BO35" s="175">
        <f>IF(BO34="","",BN34)</f>
        <v>16</v>
      </c>
      <c r="BP35" s="175">
        <v>16.0</v>
      </c>
      <c r="BQ35" s="197">
        <f>IFERROR(__xludf.DUMMYFUNCTION("""COMPUTED_VALUE"""),0.0)</f>
        <v>0</v>
      </c>
      <c r="BT35" s="175" t="str">
        <f>IF(BT34="","",BS34)</f>
        <v/>
      </c>
      <c r="BU35" s="175" t="s">
        <v>362</v>
      </c>
      <c r="BV35" s="196">
        <f>IFERROR(__xludf.DUMMYFUNCTION("""COMPUTED_VALUE"""),0.0)</f>
        <v>0</v>
      </c>
      <c r="BW35" s="178"/>
      <c r="BY35" s="160" t="str">
        <f>IF(BY34="","",BX34)</f>
        <v> </v>
      </c>
      <c r="BZ35" s="160" t="str">
        <f t="shared" si="3"/>
        <v> </v>
      </c>
      <c r="CA35" s="200">
        <f>IFERROR(__xludf.DUMMYFUNCTION("""COMPUTED_VALUE"""),30.0)</f>
        <v>30</v>
      </c>
      <c r="CB35" s="74">
        <f t="shared" si="4"/>
        <v>30</v>
      </c>
      <c r="CC35" s="200"/>
      <c r="CD35" s="243"/>
      <c r="CG35" s="180" t="str">
        <f>IF(CG34="","",CF34)</f>
        <v> </v>
      </c>
      <c r="CH35" s="200" t="s">
        <v>361</v>
      </c>
      <c r="CI35" s="182">
        <f>IFERROR(__xludf.DUMMYFUNCTION("""COMPUTED_VALUE"""),30.0)</f>
        <v>30</v>
      </c>
      <c r="CJ35" s="49" t="s">
        <v>362</v>
      </c>
      <c r="CK35" s="235"/>
      <c r="CL35" s="180" t="str">
        <f>IF(CL34="","",CK34)</f>
        <v> </v>
      </c>
      <c r="CM35" s="49" t="s">
        <v>361</v>
      </c>
      <c r="CN35" s="49">
        <f>IFERROR(__xludf.DUMMYFUNCTION("""COMPUTED_VALUE"""),30.0)</f>
        <v>30</v>
      </c>
      <c r="CQ35" s="180" t="str">
        <f>IF(CQ34="","",CP34)</f>
        <v> </v>
      </c>
      <c r="CR35" s="49" t="s">
        <v>361</v>
      </c>
      <c r="CS35" s="234">
        <f>IFERROR(__xludf.DUMMYFUNCTION("""COMPUTED_VALUE"""),30.0)</f>
        <v>30</v>
      </c>
      <c r="CV35" s="180" t="str">
        <f>IF(CV34="","",CU34)</f>
        <v> </v>
      </c>
      <c r="CW35" s="49" t="s">
        <v>361</v>
      </c>
      <c r="CX35" s="49">
        <f>IFERROR(__xludf.DUMMYFUNCTION("""COMPUTED_VALUE"""),30.0)</f>
        <v>30</v>
      </c>
      <c r="DA35" s="180" t="str">
        <f>IF(DA34="","",CZ34)</f>
        <v> </v>
      </c>
      <c r="DB35" s="49" t="s">
        <v>361</v>
      </c>
      <c r="DC35" s="49">
        <f>IFERROR(__xludf.DUMMYFUNCTION("""COMPUTED_VALUE"""),30.0)</f>
        <v>30</v>
      </c>
      <c r="DD35" s="49" t="s">
        <v>362</v>
      </c>
      <c r="DE35" s="49"/>
      <c r="DF35" s="49"/>
      <c r="DG35" s="49"/>
      <c r="DH35" s="49"/>
    </row>
    <row r="36" ht="13.5" customHeight="1">
      <c r="A36" s="118"/>
      <c r="B36" s="187">
        <v>16.0</v>
      </c>
      <c r="C36" s="188" t="str">
        <f>(VLOOKUP($B36,'Пр.взв'!$D$6:$J$63,2,0))</f>
        <v>ПЭЛЫПИВ Никита</v>
      </c>
      <c r="D36" s="189" t="str">
        <f>(VLOOKUP($B36,'Пр.взв'!$D$6:$J$63,5,0))</f>
        <v>КМС</v>
      </c>
      <c r="E36" s="190" t="str">
        <f>(VLOOKUP($B36,'Пр.взв'!$D$6:$M$63,8,0))</f>
        <v>Саратовская</v>
      </c>
      <c r="F36" s="130">
        <f>B34</f>
        <v>15</v>
      </c>
      <c r="G36" s="131"/>
      <c r="H36" s="132">
        <v>14.0</v>
      </c>
      <c r="I36" s="131"/>
      <c r="J36" s="133" t="str">
        <f>IF(H36="Х","Х",IF($AC36&lt;6," ","Х"))</f>
        <v> </v>
      </c>
      <c r="K36" s="134"/>
      <c r="L36" s="133" t="str">
        <f>IF(J36="Х","Х",IF(K36&lt;3," ",IF($AC36&lt;6," ","Х")))</f>
        <v> </v>
      </c>
      <c r="M36" s="134"/>
      <c r="N36" s="133" t="str">
        <f>IF(L36="Х","Х",IF(M36&lt;3," ",IF($AC36&lt;6," ","Х")))</f>
        <v> </v>
      </c>
      <c r="O36" s="134"/>
      <c r="P36" s="133" t="str">
        <f>IF(N36="Х","Х",IF(O36&lt;3," ",IF($AC36&lt;6," ","Х")))</f>
        <v> </v>
      </c>
      <c r="Q36" s="134"/>
      <c r="R36" s="133" t="str">
        <f>IF(P36="Х","Х",IF(Q36&lt;3," ",IF($AC36&lt;6," ","Х")))</f>
        <v> </v>
      </c>
      <c r="S36" s="134"/>
      <c r="T36" s="133" t="str">
        <f>IF(R36="Х","Х",IF(S36&lt;3," ",IF($AC36&lt;6," ","Х")))</f>
        <v> </v>
      </c>
      <c r="U36" s="135"/>
      <c r="V36" s="133" t="str">
        <f>IF(T36="Х","Х",IF(U36&lt;3," ",IF($AC36&lt;6," ","Х")))</f>
        <v> </v>
      </c>
      <c r="W36" s="135"/>
      <c r="X36" s="133" t="str">
        <f>IF(V36="А1",$AZ$7,IF(V36="Б2",$AZ$6,IF(V36="Б1",$BA$7,IF(V36="А2",$BA$6,IF(V36="Х","Х",IF(V36&lt;6," "," "))))))</f>
        <v> </v>
      </c>
      <c r="Y36" s="136"/>
      <c r="Z36" s="133" t="str">
        <f>IF(V36="Х","Х",IF(ISBLANK(Y36),"",IF(Y36&gt;2.5," ",IF(B36=BB$6,BB$7,BB$6))))</f>
        <v/>
      </c>
      <c r="AA36" s="136"/>
      <c r="AB36" s="240" t="str">
        <f>IF(H36="Х",F$5,IF(J36="Х",H$5,IF(L36="Х",J$5,IF(N36="Х",L$5,IF(P36="Х",N$5,IF(R36="Х",P$5,IF(T36="Х",R$5,IF(X36="Х",T$5,""))))))))</f>
        <v/>
      </c>
      <c r="AC36" s="138">
        <f>SUM(G36+I36+K36+M36+O36+Q36+S36+U36+Y36+AA36)</f>
        <v>0</v>
      </c>
      <c r="AD36" s="241" t="str">
        <f>AF36</f>
        <v>1-54</v>
      </c>
      <c r="AE36" s="140" t="str">
        <f>AD36</f>
        <v>1-54</v>
      </c>
      <c r="AF36" s="141" t="str">
        <f>COUNTIF(AG$6:AG$148,"&gt;"&amp;AG$6:AG$148)+1&amp;REPT("-"&amp;COUNTIF(AG$6:AG$148,"&gt;="&amp;AG$6:AG$148),COUNTIF(AG$6:AG$148,AG36)&gt;1)</f>
        <v>1-54</v>
      </c>
      <c r="AG36" s="142">
        <f>(AR36*100)+(AP36*10)-AC36</f>
        <v>1280</v>
      </c>
      <c r="AH36" s="143" t="str">
        <f>IF(OR(F36="Х",F36="св")," ",IF(AND(G36&gt;=0,G36&lt;3),"1"," "))</f>
        <v>1</v>
      </c>
      <c r="AI36" s="90" t="str">
        <f>IF(OR(H36="Х",H36="св")," ",IF(AND(I36&gt;=0,I36&lt;3),"1"," "))</f>
        <v>1</v>
      </c>
      <c r="AJ36" s="90" t="str">
        <f>IF(OR(J36="Х",J36="св")," ",IF(AND(K36&gt;=0,K36&lt;3),"1"," "))</f>
        <v>1</v>
      </c>
      <c r="AK36" s="90" t="str">
        <f>IF(OR(L36="Х",L36="св")," ",IF(AND(M36&gt;=0,M36&lt;3),"1"," "))</f>
        <v>1</v>
      </c>
      <c r="AL36" s="90" t="str">
        <f>IF(OR(N36="Х",N36="св")," ",IF(AND(O36&gt;=0,O36&lt;3),"1"," "))</f>
        <v>1</v>
      </c>
      <c r="AM36" s="90" t="str">
        <f>IF(OR(P36="Х",P36="св")," ",IF(AND(Q36&gt;=0,Q36&lt;3),"1"," "))</f>
        <v>1</v>
      </c>
      <c r="AN36" s="90" t="str">
        <f>IF(OR(R36="Х",R36="св")," ",IF(AND(S36&gt;=0,S36&lt;3),"1"," "))</f>
        <v>1</v>
      </c>
      <c r="AO36" s="90" t="str">
        <f>IF(OR(T36="Х",T36="св")," ",IF(AND(U36&gt;=0,U36&lt;3),"1"," "))</f>
        <v>1</v>
      </c>
      <c r="AP36" s="90">
        <f>COUNTIF(AH36:AO37,1)</f>
        <v>8</v>
      </c>
      <c r="AQ36" s="90">
        <f>AG36-AC36</f>
        <v>1280</v>
      </c>
      <c r="AR36" s="144">
        <f>IF(F36=0,0,IF(F36="Х",1,IF(H36="Х",2,IF(J36="Х",3,IF(L36="Х",4,IF(N36="Х",5,IF(P36="Х",6,IF(R36="Х",7,IF(T36="Х",8,IF(V36="Х",9,IF(Y36&gt;2.5,10,IF(AA36&gt;2.5,11,IF(AA36&gt;=0,12,IF(AA36=" ",0,))))))))))))))</f>
        <v>12</v>
      </c>
      <c r="AS36" s="90" t="str">
        <f>COUNTIF(AG$6:AG$134,"&gt;"&amp;AG$6:AG$134)+1&amp;REPT("-"&amp;COUNTIF(AG$6:AG$134,"&gt;="&amp;AG$6:AG$134),COUNTIF(AG$6:AG$134,AG36)&gt;1)</f>
        <v>1-54</v>
      </c>
      <c r="AT36" s="143" t="str">
        <f t="shared" ref="AT36:AW36" si="19">COUNTIF(AU$6:AU$134,"&gt;"&amp;AU$6:AU$134)+1&amp;REPT("-"&amp;COUNTIF(AU$6:AU$134,"&gt;="&amp;AU$6:AU$134),COUNTIF(AU$6:AU$134,AU36)&gt;1)</f>
        <v>1-64</v>
      </c>
      <c r="AU36" s="143" t="str">
        <f t="shared" si="19"/>
        <v>1-0</v>
      </c>
      <c r="AV36" s="143" t="str">
        <f t="shared" si="19"/>
        <v>1</v>
      </c>
      <c r="AW36" s="143" t="str">
        <f t="shared" si="19"/>
        <v>49</v>
      </c>
      <c r="AX36" s="145">
        <f>IF(X36="Х","Х",IF(Y36&lt;3,B36,"Х"))</f>
        <v>16</v>
      </c>
      <c r="AY36" s="222">
        <v>26.0</v>
      </c>
      <c r="AZ36" s="152"/>
      <c r="BA36" s="222">
        <v>26.0</v>
      </c>
      <c r="BB36" s="146"/>
      <c r="BC36" s="222">
        <v>26.0</v>
      </c>
      <c r="BD36" s="225">
        <v>26.0</v>
      </c>
      <c r="BE36" s="222">
        <v>26.0</v>
      </c>
      <c r="BF36" s="224">
        <v>27.0</v>
      </c>
      <c r="BG36" s="222">
        <v>26.0</v>
      </c>
      <c r="BH36" s="222">
        <v>26.0</v>
      </c>
      <c r="BI36" s="49"/>
      <c r="BJ36" s="49"/>
      <c r="BK36" s="49"/>
      <c r="BL36" s="49"/>
      <c r="BM36" s="195">
        <v>16.0</v>
      </c>
      <c r="BN36" s="196">
        <v>15.0</v>
      </c>
      <c r="BO36" s="153" t="str">
        <f>IF(BM36&lt;BN36,BM36,"")</f>
        <v/>
      </c>
      <c r="BP36" s="196" t="s">
        <v>362</v>
      </c>
      <c r="BQ36" s="197">
        <f>IFERROR(__xludf.DUMMYFUNCTION("""COMPUTED_VALUE"""),30.0)</f>
        <v>30</v>
      </c>
      <c r="BR36" s="198">
        <v>16.0</v>
      </c>
      <c r="BS36" s="196">
        <v>14.0</v>
      </c>
      <c r="BT36" s="175" t="str">
        <f>IF(BR36&lt;BS36,BR36,"")</f>
        <v/>
      </c>
      <c r="BU36" s="196" t="s">
        <v>362</v>
      </c>
      <c r="BV36" s="196">
        <f>IFERROR(__xludf.DUMMYFUNCTION("""COMPUTED_VALUE"""),30.0)</f>
        <v>30</v>
      </c>
      <c r="BW36" s="199">
        <v>16.0</v>
      </c>
      <c r="BX36" s="74" t="s">
        <v>361</v>
      </c>
      <c r="BY36" s="160">
        <f t="array" ref="BY36">IF(BW36&lt;BX36,BW36,"")</f>
        <v>16</v>
      </c>
      <c r="BZ36" s="160">
        <f t="shared" si="3"/>
        <v>16</v>
      </c>
      <c r="CA36" s="74">
        <f>IFERROR(__xludf.DUMMYFUNCTION("""COMPUTED_VALUE"""),31.0)</f>
        <v>31</v>
      </c>
      <c r="CB36" s="74">
        <f t="shared" si="4"/>
        <v>31</v>
      </c>
      <c r="CC36" s="200"/>
      <c r="CD36" s="243"/>
      <c r="CE36" s="200">
        <v>16.0</v>
      </c>
      <c r="CF36" s="25" t="s">
        <v>361</v>
      </c>
      <c r="CG36" s="153">
        <f t="array" ref="CG36">IF(CE36&lt;CF36,CE36,"")</f>
        <v>16</v>
      </c>
      <c r="CH36" s="74">
        <v>16.0</v>
      </c>
      <c r="CI36" s="182">
        <f>IFERROR(__xludf.DUMMYFUNCTION("""COMPUTED_VALUE"""),31.0)</f>
        <v>31</v>
      </c>
      <c r="CJ36" s="93">
        <v>16.0</v>
      </c>
      <c r="CK36" s="233" t="s">
        <v>361</v>
      </c>
      <c r="CL36" s="153">
        <f t="array" ref="CL36">IF(CJ36&lt;CK36,CJ36,"")</f>
        <v>16</v>
      </c>
      <c r="CM36" s="49">
        <v>16.0</v>
      </c>
      <c r="CN36" s="49">
        <f>IFERROR(__xludf.DUMMYFUNCTION("""COMPUTED_VALUE"""),31.0)</f>
        <v>31</v>
      </c>
      <c r="CO36" s="74">
        <v>16.0</v>
      </c>
      <c r="CP36" s="200" t="s">
        <v>361</v>
      </c>
      <c r="CQ36" s="153">
        <f t="array" ref="CQ36">IF(CO36&lt;CP36,CO36,"")</f>
        <v>16</v>
      </c>
      <c r="CR36" s="93">
        <v>16.0</v>
      </c>
      <c r="CS36" s="234">
        <f>IFERROR(__xludf.DUMMYFUNCTION("""COMPUTED_VALUE"""),31.0)</f>
        <v>31</v>
      </c>
      <c r="CT36" s="200">
        <v>16.0</v>
      </c>
      <c r="CU36" s="74" t="s">
        <v>361</v>
      </c>
      <c r="CV36" s="153">
        <f t="array" ref="CV36">IF(CT36&lt;CU36,CT36,"")</f>
        <v>16</v>
      </c>
      <c r="CW36" s="49">
        <v>16.0</v>
      </c>
      <c r="CX36" s="49">
        <f>IFERROR(__xludf.DUMMYFUNCTION("""COMPUTED_VALUE"""),31.0)</f>
        <v>31</v>
      </c>
      <c r="CY36" s="200">
        <v>16.0</v>
      </c>
      <c r="CZ36" s="74" t="s">
        <v>361</v>
      </c>
      <c r="DA36" s="153">
        <f t="array" ref="DA36">IF(CY36&lt;CZ36,CY36,"")</f>
        <v>16</v>
      </c>
      <c r="DB36" s="49">
        <v>16.0</v>
      </c>
      <c r="DC36" s="49">
        <f>IFERROR(__xludf.DUMMYFUNCTION("""COMPUTED_VALUE"""),31.0)</f>
        <v>31</v>
      </c>
      <c r="DD36" s="49">
        <v>16.0</v>
      </c>
      <c r="DE36" s="49"/>
      <c r="DF36" s="49"/>
      <c r="DG36" s="49"/>
      <c r="DH36" s="49"/>
    </row>
    <row r="37" ht="13.5" customHeight="1">
      <c r="A37" s="118"/>
      <c r="B37" s="165"/>
      <c r="C37" s="165"/>
      <c r="D37" s="165"/>
      <c r="E37" s="165"/>
      <c r="F37" s="166"/>
      <c r="G37" s="167"/>
      <c r="H37" s="168"/>
      <c r="I37" s="167"/>
      <c r="J37" s="168"/>
      <c r="K37" s="167"/>
      <c r="L37" s="168"/>
      <c r="M37" s="167"/>
      <c r="N37" s="168"/>
      <c r="O37" s="167"/>
      <c r="P37" s="168"/>
      <c r="Q37" s="167"/>
      <c r="R37" s="168"/>
      <c r="S37" s="167"/>
      <c r="T37" s="168"/>
      <c r="U37" s="169"/>
      <c r="V37" s="168"/>
      <c r="W37" s="169"/>
      <c r="X37" s="168"/>
      <c r="Y37" s="167"/>
      <c r="Z37" s="168"/>
      <c r="AA37" s="167"/>
      <c r="AB37" s="166"/>
      <c r="AC37" s="165"/>
      <c r="AD37" s="168"/>
      <c r="AE37" s="170"/>
      <c r="AF37" s="171"/>
      <c r="AG37" s="113"/>
      <c r="AH37" s="113"/>
      <c r="AI37" s="113"/>
      <c r="AJ37" s="113"/>
      <c r="AK37" s="113"/>
      <c r="AL37" s="113"/>
      <c r="AM37" s="113"/>
      <c r="AN37" s="113"/>
      <c r="AO37" s="113"/>
      <c r="AP37" s="113"/>
      <c r="AQ37" s="113"/>
      <c r="AR37" s="113"/>
      <c r="AS37" s="113"/>
      <c r="AT37" s="113"/>
      <c r="AU37" s="113"/>
      <c r="AV37" s="113"/>
      <c r="AW37" s="113"/>
      <c r="AY37" s="227">
        <v>27.0</v>
      </c>
      <c r="AZ37" s="152"/>
      <c r="BA37" s="228">
        <v>27.0</v>
      </c>
      <c r="BB37" s="146"/>
      <c r="BC37" s="227">
        <v>27.0</v>
      </c>
      <c r="BD37" s="225">
        <v>27.0</v>
      </c>
      <c r="BE37" s="227">
        <v>27.0</v>
      </c>
      <c r="BF37" s="224">
        <v>26.0</v>
      </c>
      <c r="BG37" s="227">
        <v>27.0</v>
      </c>
      <c r="BH37" s="227">
        <v>27.0</v>
      </c>
      <c r="BI37" s="49"/>
      <c r="BJ37" s="49"/>
      <c r="BK37" s="49"/>
      <c r="BL37" s="49"/>
      <c r="BM37" s="178"/>
      <c r="BO37" s="175" t="str">
        <f>IF(BO36="","",BN36)</f>
        <v/>
      </c>
      <c r="BP37" s="175" t="s">
        <v>362</v>
      </c>
      <c r="BQ37" s="197">
        <f>IFERROR(__xludf.DUMMYFUNCTION("""COMPUTED_VALUE"""),31.0)</f>
        <v>31</v>
      </c>
      <c r="BT37" s="175" t="str">
        <f>IF(BT36="","",BS36)</f>
        <v/>
      </c>
      <c r="BU37" s="175" t="s">
        <v>362</v>
      </c>
      <c r="BV37" s="196">
        <f>IFERROR(__xludf.DUMMYFUNCTION("""COMPUTED_VALUE"""),32.0)</f>
        <v>32</v>
      </c>
      <c r="BW37" s="178"/>
      <c r="BY37" s="160" t="str">
        <f>IF(BY36="","",BX36)</f>
        <v> </v>
      </c>
      <c r="BZ37" s="160" t="str">
        <f t="shared" si="3"/>
        <v> </v>
      </c>
      <c r="CA37" s="200">
        <f>IFERROR(__xludf.DUMMYFUNCTION("""COMPUTED_VALUE"""),32.0)</f>
        <v>32</v>
      </c>
      <c r="CB37" s="74">
        <f t="shared" si="4"/>
        <v>32</v>
      </c>
      <c r="CC37" s="200"/>
      <c r="CD37" s="243"/>
      <c r="CG37" s="180" t="str">
        <f>IF(CG36="","",CF36)</f>
        <v> </v>
      </c>
      <c r="CH37" s="200" t="s">
        <v>361</v>
      </c>
      <c r="CI37" s="182">
        <f>IFERROR(__xludf.DUMMYFUNCTION("""COMPUTED_VALUE"""),32.0)</f>
        <v>32</v>
      </c>
      <c r="CJ37" s="49" t="s">
        <v>362</v>
      </c>
      <c r="CK37" s="235"/>
      <c r="CL37" s="180" t="str">
        <f>IF(CL36="","",CK36)</f>
        <v> </v>
      </c>
      <c r="CM37" s="49" t="s">
        <v>361</v>
      </c>
      <c r="CN37" s="49">
        <f>IFERROR(__xludf.DUMMYFUNCTION("""COMPUTED_VALUE"""),32.0)</f>
        <v>32</v>
      </c>
      <c r="CQ37" s="180" t="str">
        <f>IF(CQ36="","",CP36)</f>
        <v> </v>
      </c>
      <c r="CR37" s="49" t="s">
        <v>361</v>
      </c>
      <c r="CS37" s="234">
        <f>IFERROR(__xludf.DUMMYFUNCTION("""COMPUTED_VALUE"""),32.0)</f>
        <v>32</v>
      </c>
      <c r="CV37" s="180" t="str">
        <f>IF(CV36="","",CU36)</f>
        <v> </v>
      </c>
      <c r="CW37" s="49" t="s">
        <v>361</v>
      </c>
      <c r="CX37" s="49">
        <f>IFERROR(__xludf.DUMMYFUNCTION("""COMPUTED_VALUE"""),32.0)</f>
        <v>32</v>
      </c>
      <c r="DA37" s="180" t="str">
        <f>IF(DA36="","",CZ36)</f>
        <v> </v>
      </c>
      <c r="DB37" s="49" t="s">
        <v>361</v>
      </c>
      <c r="DC37" s="49">
        <f>IFERROR(__xludf.DUMMYFUNCTION("""COMPUTED_VALUE"""),32.0)</f>
        <v>32</v>
      </c>
      <c r="DD37" s="49" t="s">
        <v>362</v>
      </c>
      <c r="DE37" s="49"/>
      <c r="DF37" s="49"/>
      <c r="DG37" s="49"/>
      <c r="DH37" s="49"/>
    </row>
    <row r="38" ht="13.5" customHeight="1">
      <c r="A38" s="118"/>
      <c r="B38" s="187">
        <v>17.0</v>
      </c>
      <c r="C38" s="188" t="str">
        <f>(VLOOKUP($B38,'Пр.взв'!$D$6:$J$63,2,0))</f>
        <v>УШАКОВ  Глеб </v>
      </c>
      <c r="D38" s="189" t="str">
        <f>(VLOOKUP($B38,'Пр.взв'!$D$6:$J$63,5,0))</f>
        <v>КМС</v>
      </c>
      <c r="E38" s="190" t="str">
        <f>(VLOOKUP($B38,'Пр.взв'!$D$6:$M$63,8,0))</f>
        <v>Ярославская</v>
      </c>
      <c r="F38" s="130">
        <f>B40</f>
        <v>18</v>
      </c>
      <c r="G38" s="131"/>
      <c r="H38" s="132">
        <v>19.0</v>
      </c>
      <c r="I38" s="131"/>
      <c r="J38" s="133" t="str">
        <f>IF(H38="Х","Х",IF($AC38&lt;6," ","Х"))</f>
        <v> </v>
      </c>
      <c r="K38" s="134"/>
      <c r="L38" s="133" t="str">
        <f>IF(J38="Х","Х",IF(K38&lt;3," ",IF($AC38&lt;6," ","Х")))</f>
        <v> </v>
      </c>
      <c r="M38" s="134"/>
      <c r="N38" s="133" t="str">
        <f>IF(L38="Х","Х",IF(M38&lt;3," ",IF($AC38&lt;6," ","Х")))</f>
        <v> </v>
      </c>
      <c r="O38" s="134"/>
      <c r="P38" s="133" t="str">
        <f>IF(N38="Х","Х",IF(O38&lt;3," ",IF($AC38&lt;6," ","Х")))</f>
        <v> </v>
      </c>
      <c r="Q38" s="134"/>
      <c r="R38" s="133" t="str">
        <f>IF(P38="Х","Х",IF(Q38&lt;3," ",IF($AC38&lt;6," ","Х")))</f>
        <v> </v>
      </c>
      <c r="S38" s="134"/>
      <c r="T38" s="133" t="str">
        <f>IF(R38="Х","Х",IF(S38&lt;3," ",IF($AC38&lt;6," ","Х")))</f>
        <v> </v>
      </c>
      <c r="U38" s="135"/>
      <c r="V38" s="133" t="str">
        <f>IF(T38="Х","Х",IF(U38&lt;3," ",IF($AC38&lt;6," ","Х")))</f>
        <v> </v>
      </c>
      <c r="W38" s="135"/>
      <c r="X38" s="133" t="str">
        <f>IF(V38="А1",$AZ$7,IF(V38="Б2",$AZ$6,IF(V38="Б1",$BA$7,IF(V38="А2",$BA$6,IF(V38="Х","Х",IF(V38&lt;6," "," "))))))</f>
        <v> </v>
      </c>
      <c r="Y38" s="136"/>
      <c r="Z38" s="133" t="str">
        <f>IF(V38="Х","Х",IF(ISBLANK(Y38),"",IF(Y38&gt;2.5," ",IF(B38=BB$6,BB$7,BB$6))))</f>
        <v/>
      </c>
      <c r="AA38" s="136"/>
      <c r="AB38" s="240" t="str">
        <f>IF(H38="Х",F$5,IF(J38="Х",H$5,IF(L38="Х",J$5,IF(N38="Х",L$5,IF(P38="Х",N$5,IF(R38="Х",P$5,IF(T38="Х",R$5,IF(X38="Х",T$5,""))))))))</f>
        <v/>
      </c>
      <c r="AC38" s="138">
        <f>SUM(G38+I38+K38+M38+O38+Q38+S38+U38+Y38+AA38)</f>
        <v>0</v>
      </c>
      <c r="AD38" s="241" t="str">
        <f>AF38</f>
        <v>1-54</v>
      </c>
      <c r="AE38" s="140" t="str">
        <f>AD38</f>
        <v>1-54</v>
      </c>
      <c r="AF38" s="141" t="str">
        <f>COUNTIF(AG$6:AG$148,"&gt;"&amp;AG$6:AG$148)+1&amp;REPT("-"&amp;COUNTIF(AG$6:AG$148,"&gt;="&amp;AG$6:AG$148),COUNTIF(AG$6:AG$148,AG38)&gt;1)</f>
        <v>1-54</v>
      </c>
      <c r="AG38" s="142">
        <f>(AR38*100)+(AP38*10)-AC38</f>
        <v>1280</v>
      </c>
      <c r="AH38" s="143" t="str">
        <f>IF(OR(F38="Х",F38="св")," ",IF(AND(G38&gt;=0,G38&lt;3),"1"," "))</f>
        <v>1</v>
      </c>
      <c r="AI38" s="90" t="str">
        <f>IF(OR(H38="Х",H38="св")," ",IF(AND(I38&gt;=0,I38&lt;3),"1"," "))</f>
        <v>1</v>
      </c>
      <c r="AJ38" s="90" t="str">
        <f>IF(OR(J38="Х",J38="св")," ",IF(AND(K38&gt;=0,K38&lt;3),"1"," "))</f>
        <v>1</v>
      </c>
      <c r="AK38" s="90" t="str">
        <f>IF(OR(L38="Х",L38="св")," ",IF(AND(M38&gt;=0,M38&lt;3),"1"," "))</f>
        <v>1</v>
      </c>
      <c r="AL38" s="90" t="str">
        <f>IF(OR(N38="Х",N38="св")," ",IF(AND(O38&gt;=0,O38&lt;3),"1"," "))</f>
        <v>1</v>
      </c>
      <c r="AM38" s="90" t="str">
        <f>IF(OR(P38="Х",P38="св")," ",IF(AND(Q38&gt;=0,Q38&lt;3),"1"," "))</f>
        <v>1</v>
      </c>
      <c r="AN38" s="90" t="str">
        <f>IF(OR(R38="Х",R38="св")," ",IF(AND(S38&gt;=0,S38&lt;3),"1"," "))</f>
        <v>1</v>
      </c>
      <c r="AO38" s="90" t="str">
        <f>IF(OR(T38="Х",T38="св")," ",IF(AND(U38&gt;=0,U38&lt;3),"1"," "))</f>
        <v>1</v>
      </c>
      <c r="AP38" s="90">
        <f>COUNTIF(AH38:AO39,1)</f>
        <v>8</v>
      </c>
      <c r="AQ38" s="90">
        <f>AG38-AC38</f>
        <v>1280</v>
      </c>
      <c r="AR38" s="144">
        <f>IF(F38=0,0,IF(F38="Х",1,IF(H38="Х",2,IF(J38="Х",3,IF(L38="Х",4,IF(N38="Х",5,IF(P38="Х",6,IF(R38="Х",7,IF(T38="Х",8,IF(V38="Х",9,IF(Y38&gt;2.5,10,IF(AA38&gt;2.5,11,IF(AA38&gt;=0,12,IF(AA38=" ",0,))))))))))))))</f>
        <v>12</v>
      </c>
      <c r="AS38" s="90" t="str">
        <f>COUNTIF(AG$6:AG$134,"&gt;"&amp;AG$6:AG$134)+1&amp;REPT("-"&amp;COUNTIF(AG$6:AG$134,"&gt;="&amp;AG$6:AG$134),COUNTIF(AG$6:AG$134,AG38)&gt;1)</f>
        <v>1-54</v>
      </c>
      <c r="AT38" s="143" t="str">
        <f t="shared" ref="AT38:AW38" si="20">COUNTIF(AU$6:AU$134,"&gt;"&amp;AU$6:AU$134)+1&amp;REPT("-"&amp;COUNTIF(AU$6:AU$134,"&gt;="&amp;AU$6:AU$134),COUNTIF(AU$6:AU$134,AU38)&gt;1)</f>
        <v>1-64</v>
      </c>
      <c r="AU38" s="143" t="str">
        <f t="shared" si="20"/>
        <v>1-0</v>
      </c>
      <c r="AV38" s="143" t="str">
        <f t="shared" si="20"/>
        <v>1</v>
      </c>
      <c r="AW38" s="143" t="str">
        <f t="shared" si="20"/>
        <v>48</v>
      </c>
      <c r="AX38" s="145">
        <f>IF(X38="Х","Х",IF(Y38&lt;3,B38,"Х"))</f>
        <v>17</v>
      </c>
      <c r="AY38" s="222">
        <v>28.0</v>
      </c>
      <c r="AZ38" s="152"/>
      <c r="BA38" s="222">
        <v>28.0</v>
      </c>
      <c r="BB38" s="146"/>
      <c r="BC38" s="49">
        <v>28.0</v>
      </c>
      <c r="BD38" s="225">
        <v>28.0</v>
      </c>
      <c r="BE38" s="49">
        <v>28.0</v>
      </c>
      <c r="BF38" s="224">
        <v>29.0</v>
      </c>
      <c r="BG38" s="222">
        <v>28.0</v>
      </c>
      <c r="BH38" s="222">
        <v>28.0</v>
      </c>
      <c r="BI38" s="49"/>
      <c r="BJ38" s="49"/>
      <c r="BK38" s="49"/>
      <c r="BL38" s="49"/>
      <c r="BM38" s="195">
        <v>17.0</v>
      </c>
      <c r="BN38" s="196">
        <v>18.0</v>
      </c>
      <c r="BO38" s="153">
        <f>IF(BM38&lt;BN38,BM38,"")</f>
        <v>17</v>
      </c>
      <c r="BP38" s="196">
        <v>17.0</v>
      </c>
      <c r="BQ38" s="197">
        <f>IFERROR(__xludf.DUMMYFUNCTION("""COMPUTED_VALUE"""),32.0)</f>
        <v>32</v>
      </c>
      <c r="BR38" s="198">
        <v>17.0</v>
      </c>
      <c r="BS38" s="196">
        <v>19.0</v>
      </c>
      <c r="BT38" s="175">
        <f>IF(BR38&lt;BS38,BR38,"")</f>
        <v>17</v>
      </c>
      <c r="BU38" s="196">
        <v>17.0</v>
      </c>
      <c r="BV38" s="196">
        <f>IFERROR(__xludf.DUMMYFUNCTION("""COMPUTED_VALUE"""),31.0)</f>
        <v>31</v>
      </c>
      <c r="BW38" s="199">
        <v>17.0</v>
      </c>
      <c r="BX38" s="74" t="s">
        <v>361</v>
      </c>
      <c r="BY38" s="160">
        <f t="array" ref="BY38">IF(BW38&lt;BX38,BW38,"")</f>
        <v>17</v>
      </c>
      <c r="BZ38" s="160">
        <f t="shared" si="3"/>
        <v>17</v>
      </c>
      <c r="CA38" s="74">
        <f>IFERROR(__xludf.DUMMYFUNCTION("""COMPUTED_VALUE"""),33.0)</f>
        <v>33</v>
      </c>
      <c r="CB38" s="74">
        <f t="shared" si="4"/>
        <v>33</v>
      </c>
      <c r="CC38" s="200"/>
      <c r="CD38" s="243"/>
      <c r="CE38" s="200">
        <v>17.0</v>
      </c>
      <c r="CF38" s="25" t="s">
        <v>361</v>
      </c>
      <c r="CG38" s="153">
        <f t="array" ref="CG38">IF(CE38&lt;CF38,CE38,"")</f>
        <v>17</v>
      </c>
      <c r="CH38" s="74">
        <v>17.0</v>
      </c>
      <c r="CI38" s="182">
        <f>IFERROR(__xludf.DUMMYFUNCTION("""COMPUTED_VALUE"""),33.0)</f>
        <v>33</v>
      </c>
      <c r="CJ38" s="93">
        <v>17.0</v>
      </c>
      <c r="CK38" s="233" t="s">
        <v>361</v>
      </c>
      <c r="CL38" s="153">
        <f t="array" ref="CL38">IF(CJ38&lt;CK38,CJ38,"")</f>
        <v>17</v>
      </c>
      <c r="CM38" s="49">
        <v>17.0</v>
      </c>
      <c r="CN38" s="49">
        <f>IFERROR(__xludf.DUMMYFUNCTION("""COMPUTED_VALUE"""),33.0)</f>
        <v>33</v>
      </c>
      <c r="CO38" s="74">
        <v>17.0</v>
      </c>
      <c r="CP38" s="200" t="s">
        <v>361</v>
      </c>
      <c r="CQ38" s="153">
        <f t="array" ref="CQ38">IF(CO38&lt;CP38,CO38,"")</f>
        <v>17</v>
      </c>
      <c r="CR38" s="93">
        <v>17.0</v>
      </c>
      <c r="CS38" s="234">
        <f>IFERROR(__xludf.DUMMYFUNCTION("""COMPUTED_VALUE"""),33.0)</f>
        <v>33</v>
      </c>
      <c r="CT38" s="200">
        <v>17.0</v>
      </c>
      <c r="CU38" s="74" t="s">
        <v>361</v>
      </c>
      <c r="CV38" s="153">
        <f t="array" ref="CV38">IF(CT38&lt;CU38,CT38,"")</f>
        <v>17</v>
      </c>
      <c r="CW38" s="49">
        <v>17.0</v>
      </c>
      <c r="CX38" s="49">
        <f>IFERROR(__xludf.DUMMYFUNCTION("""COMPUTED_VALUE"""),33.0)</f>
        <v>33</v>
      </c>
      <c r="CY38" s="200">
        <v>17.0</v>
      </c>
      <c r="CZ38" s="74" t="s">
        <v>361</v>
      </c>
      <c r="DA38" s="153">
        <f t="array" ref="DA38">IF(CY38&lt;CZ38,CY38,"")</f>
        <v>17</v>
      </c>
      <c r="DB38" s="49">
        <v>17.0</v>
      </c>
      <c r="DC38" s="49">
        <f>IFERROR(__xludf.DUMMYFUNCTION("""COMPUTED_VALUE"""),33.0)</f>
        <v>33</v>
      </c>
      <c r="DD38" s="49">
        <v>17.0</v>
      </c>
      <c r="DE38" s="49"/>
      <c r="DF38" s="49"/>
      <c r="DG38" s="49"/>
      <c r="DH38" s="49"/>
    </row>
    <row r="39" ht="13.5" customHeight="1">
      <c r="A39" s="118"/>
      <c r="B39" s="165"/>
      <c r="C39" s="165"/>
      <c r="D39" s="165"/>
      <c r="E39" s="165"/>
      <c r="F39" s="166"/>
      <c r="G39" s="167"/>
      <c r="H39" s="168"/>
      <c r="I39" s="167"/>
      <c r="J39" s="168"/>
      <c r="K39" s="167"/>
      <c r="L39" s="168"/>
      <c r="M39" s="167"/>
      <c r="N39" s="168"/>
      <c r="O39" s="167"/>
      <c r="P39" s="168"/>
      <c r="Q39" s="167"/>
      <c r="R39" s="168"/>
      <c r="S39" s="167"/>
      <c r="T39" s="168"/>
      <c r="U39" s="169"/>
      <c r="V39" s="168"/>
      <c r="W39" s="169"/>
      <c r="X39" s="168"/>
      <c r="Y39" s="167"/>
      <c r="Z39" s="168"/>
      <c r="AA39" s="167"/>
      <c r="AB39" s="166"/>
      <c r="AC39" s="165"/>
      <c r="AD39" s="168"/>
      <c r="AE39" s="170"/>
      <c r="AF39" s="171"/>
      <c r="AG39" s="113"/>
      <c r="AH39" s="113"/>
      <c r="AI39" s="113"/>
      <c r="AJ39" s="113"/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  <c r="AW39" s="113"/>
      <c r="AY39" s="227">
        <v>29.0</v>
      </c>
      <c r="AZ39" s="152"/>
      <c r="BA39" s="228">
        <v>29.0</v>
      </c>
      <c r="BB39" s="146"/>
      <c r="BC39" s="49">
        <v>29.0</v>
      </c>
      <c r="BD39" s="225">
        <v>29.0</v>
      </c>
      <c r="BE39" s="49">
        <v>29.0</v>
      </c>
      <c r="BF39" s="224">
        <v>28.0</v>
      </c>
      <c r="BG39" s="227">
        <v>29.0</v>
      </c>
      <c r="BH39" s="227">
        <v>29.0</v>
      </c>
      <c r="BI39" s="49"/>
      <c r="BJ39" s="49"/>
      <c r="BK39" s="49"/>
      <c r="BL39" s="49"/>
      <c r="BM39" s="178"/>
      <c r="BO39" s="175">
        <f>IF(BO38="","",BN38)</f>
        <v>18</v>
      </c>
      <c r="BP39" s="175">
        <v>18.0</v>
      </c>
      <c r="BQ39" s="197">
        <f>IFERROR(__xludf.DUMMYFUNCTION("""COMPUTED_VALUE"""),33.0)</f>
        <v>33</v>
      </c>
      <c r="BT39" s="175">
        <f>IF(BT38="","",BS38)</f>
        <v>19</v>
      </c>
      <c r="BU39" s="175">
        <v>19.0</v>
      </c>
      <c r="BV39" s="196">
        <f>IFERROR(__xludf.DUMMYFUNCTION("""COMPUTED_VALUE"""),33.0)</f>
        <v>33</v>
      </c>
      <c r="BW39" s="178"/>
      <c r="BY39" s="160" t="str">
        <f>IF(BY38="","",BX38)</f>
        <v> </v>
      </c>
      <c r="BZ39" s="160" t="str">
        <f t="shared" si="3"/>
        <v> </v>
      </c>
      <c r="CA39" s="200">
        <f>IFERROR(__xludf.DUMMYFUNCTION("""COMPUTED_VALUE"""),34.0)</f>
        <v>34</v>
      </c>
      <c r="CB39" s="74">
        <f t="shared" si="4"/>
        <v>34</v>
      </c>
      <c r="CC39" s="200"/>
      <c r="CD39" s="243"/>
      <c r="CG39" s="180" t="str">
        <f>IF(CG38="","",CF38)</f>
        <v> </v>
      </c>
      <c r="CH39" s="200" t="s">
        <v>361</v>
      </c>
      <c r="CI39" s="182">
        <f>IFERROR(__xludf.DUMMYFUNCTION("""COMPUTED_VALUE"""),34.0)</f>
        <v>34</v>
      </c>
      <c r="CJ39" s="49" t="s">
        <v>362</v>
      </c>
      <c r="CK39" s="235"/>
      <c r="CL39" s="180" t="str">
        <f>IF(CL38="","",CK38)</f>
        <v> </v>
      </c>
      <c r="CM39" s="49" t="s">
        <v>361</v>
      </c>
      <c r="CN39" s="49">
        <f>IFERROR(__xludf.DUMMYFUNCTION("""COMPUTED_VALUE"""),34.0)</f>
        <v>34</v>
      </c>
      <c r="CQ39" s="180" t="str">
        <f>IF(CQ38="","",CP38)</f>
        <v> </v>
      </c>
      <c r="CR39" s="49" t="s">
        <v>361</v>
      </c>
      <c r="CS39" s="234">
        <f>IFERROR(__xludf.DUMMYFUNCTION("""COMPUTED_VALUE"""),34.0)</f>
        <v>34</v>
      </c>
      <c r="CV39" s="180" t="str">
        <f>IF(CV38="","",CU38)</f>
        <v> </v>
      </c>
      <c r="CW39" s="49" t="s">
        <v>361</v>
      </c>
      <c r="CX39" s="49">
        <f>IFERROR(__xludf.DUMMYFUNCTION("""COMPUTED_VALUE"""),34.0)</f>
        <v>34</v>
      </c>
      <c r="DA39" s="180" t="str">
        <f>IF(DA38="","",CZ38)</f>
        <v> </v>
      </c>
      <c r="DB39" s="49" t="s">
        <v>361</v>
      </c>
      <c r="DC39" s="49">
        <f>IFERROR(__xludf.DUMMYFUNCTION("""COMPUTED_VALUE"""),34.0)</f>
        <v>34</v>
      </c>
      <c r="DD39" s="49" t="s">
        <v>362</v>
      </c>
      <c r="DE39" s="49"/>
      <c r="DF39" s="49"/>
      <c r="DG39" s="49"/>
      <c r="DH39" s="49"/>
    </row>
    <row r="40" ht="13.5" customHeight="1">
      <c r="A40" s="118"/>
      <c r="B40" s="187">
        <v>18.0</v>
      </c>
      <c r="C40" s="188" t="str">
        <f>(VLOOKUP($B40,'Пр.взв'!$D$6:$J$63,2,0))</f>
        <v>ПОЧИВАЛОВ Артём</v>
      </c>
      <c r="D40" s="189" t="str">
        <f>(VLOOKUP($B40,'Пр.взв'!$D$6:$J$63,5,0))</f>
        <v>КМС</v>
      </c>
      <c r="E40" s="190" t="str">
        <f>(VLOOKUP($B40,'Пр.взв'!$D$6:$M$63,8,0))</f>
        <v>Пензенская</v>
      </c>
      <c r="F40" s="130">
        <f>B38</f>
        <v>17</v>
      </c>
      <c r="G40" s="131"/>
      <c r="H40" s="132">
        <v>20.0</v>
      </c>
      <c r="I40" s="131"/>
      <c r="J40" s="133" t="str">
        <f>IF(H40="Х","Х",IF($AC40&lt;6," ","Х"))</f>
        <v> </v>
      </c>
      <c r="K40" s="134"/>
      <c r="L40" s="133" t="str">
        <f>IF(J40="Х","Х",IF(K40&lt;3," ",IF($AC40&lt;6," ","Х")))</f>
        <v> </v>
      </c>
      <c r="M40" s="134"/>
      <c r="N40" s="133" t="str">
        <f>IF(L40="Х","Х",IF(M40&lt;3," ",IF($AC40&lt;6," ","Х")))</f>
        <v> </v>
      </c>
      <c r="O40" s="134"/>
      <c r="P40" s="133" t="str">
        <f>IF(N40="Х","Х",IF(O40&lt;3," ",IF($AC40&lt;6," ","Х")))</f>
        <v> </v>
      </c>
      <c r="Q40" s="134"/>
      <c r="R40" s="133" t="str">
        <f>IF(P40="Х","Х",IF(Q40&lt;3," ",IF($AC40&lt;6," ","Х")))</f>
        <v> </v>
      </c>
      <c r="S40" s="134"/>
      <c r="T40" s="133" t="str">
        <f>IF(R40="Х","Х",IF(S40&lt;3," ",IF($AC40&lt;6," ","Х")))</f>
        <v> </v>
      </c>
      <c r="U40" s="135"/>
      <c r="V40" s="133" t="str">
        <f>IF(T40="Х","Х",IF(U40&lt;3," ",IF($AC40&lt;6," ","Х")))</f>
        <v> </v>
      </c>
      <c r="W40" s="135"/>
      <c r="X40" s="133" t="str">
        <f>IF(V40="А1",$AZ$7,IF(V40="Б2",$AZ$6,IF(V40="Б1",$BA$7,IF(V40="А2",$BA$6,IF(V40="Х","Х",IF(V40&lt;6," "," "))))))</f>
        <v> </v>
      </c>
      <c r="Y40" s="136"/>
      <c r="Z40" s="133" t="str">
        <f>IF(V40="Х","Х",IF(ISBLANK(Y40),"",IF(Y40&gt;2.5," ",IF(B40=BB$6,BB$7,BB$6))))</f>
        <v/>
      </c>
      <c r="AA40" s="136"/>
      <c r="AB40" s="240" t="str">
        <f>IF(H40="Х",F$5,IF(J40="Х",H$5,IF(L40="Х",J$5,IF(N40="Х",L$5,IF(P40="Х",N$5,IF(R40="Х",P$5,IF(T40="Х",R$5,IF(X40="Х",T$5,""))))))))</f>
        <v/>
      </c>
      <c r="AC40" s="138">
        <f>SUM(G40+I40+K40+M40+O40+Q40+S40+U40+Y40+AA40)</f>
        <v>0</v>
      </c>
      <c r="AD40" s="139" t="str">
        <f>AF40</f>
        <v>1-54</v>
      </c>
      <c r="AE40" s="140" t="str">
        <f>AD40</f>
        <v>1-54</v>
      </c>
      <c r="AF40" s="141" t="str">
        <f>COUNTIF(AG$6:AG$148,"&gt;"&amp;AG$6:AG$148)+1&amp;REPT("-"&amp;COUNTIF(AG$6:AG$148,"&gt;="&amp;AG$6:AG$148),COUNTIF(AG$6:AG$148,AG40)&gt;1)</f>
        <v>1-54</v>
      </c>
      <c r="AG40" s="142">
        <f>(AR40*100)+(AP40*10)-AC40</f>
        <v>1280</v>
      </c>
      <c r="AH40" s="143" t="str">
        <f>IF(OR(F40="Х",F40="св")," ",IF(AND(G40&gt;=0,G40&lt;3),"1"," "))</f>
        <v>1</v>
      </c>
      <c r="AI40" s="90" t="str">
        <f>IF(OR(H40="Х",H40="св")," ",IF(AND(I40&gt;=0,I40&lt;3),"1"," "))</f>
        <v>1</v>
      </c>
      <c r="AJ40" s="90" t="str">
        <f>IF(OR(J40="Х",J40="св")," ",IF(AND(K40&gt;=0,K40&lt;3),"1"," "))</f>
        <v>1</v>
      </c>
      <c r="AK40" s="90" t="str">
        <f>IF(OR(L40="Х",L40="св")," ",IF(AND(M40&gt;=0,M40&lt;3),"1"," "))</f>
        <v>1</v>
      </c>
      <c r="AL40" s="90" t="str">
        <f>IF(OR(N40="Х",N40="св")," ",IF(AND(O40&gt;=0,O40&lt;3),"1"," "))</f>
        <v>1</v>
      </c>
      <c r="AM40" s="90" t="str">
        <f>IF(OR(P40="Х",P40="св")," ",IF(AND(Q40&gt;=0,Q40&lt;3),"1"," "))</f>
        <v>1</v>
      </c>
      <c r="AN40" s="90" t="str">
        <f>IF(OR(R40="Х",R40="св")," ",IF(AND(S40&gt;=0,S40&lt;3),"1"," "))</f>
        <v>1</v>
      </c>
      <c r="AO40" s="90" t="str">
        <f>IF(OR(T40="Х",T40="св")," ",IF(AND(U40&gt;=0,U40&lt;3),"1"," "))</f>
        <v>1</v>
      </c>
      <c r="AP40" s="90">
        <f>COUNTIF(AH40:AO41,1)</f>
        <v>8</v>
      </c>
      <c r="AQ40" s="90">
        <f>AG40-AC40</f>
        <v>1280</v>
      </c>
      <c r="AR40" s="144">
        <f>IF(F40=0,0,IF(F40="Х",1,IF(H40="Х",2,IF(J40="Х",3,IF(L40="Х",4,IF(N40="Х",5,IF(P40="Х",6,IF(R40="Х",7,IF(T40="Х",8,IF(V40="Х",9,IF(Y40&gt;2.5,10,IF(AA40&gt;2.5,11,IF(AA40&gt;=0,12,IF(AA40=" ",0,))))))))))))))</f>
        <v>12</v>
      </c>
      <c r="AS40" s="90" t="str">
        <f>COUNTIF(AG$6:AG$134,"&gt;"&amp;AG$6:AG$134)+1&amp;REPT("-"&amp;COUNTIF(AG$6:AG$134,"&gt;="&amp;AG$6:AG$134),COUNTIF(AG$6:AG$134,AG40)&gt;1)</f>
        <v>1-54</v>
      </c>
      <c r="AT40" s="143" t="str">
        <f t="shared" ref="AT40:AW40" si="21">COUNTIF(AU$6:AU$134,"&gt;"&amp;AU$6:AU$134)+1&amp;REPT("-"&amp;COUNTIF(AU$6:AU$134,"&gt;="&amp;AU$6:AU$134),COUNTIF(AU$6:AU$134,AU40)&gt;1)</f>
        <v>1-64</v>
      </c>
      <c r="AU40" s="143" t="str">
        <f t="shared" si="21"/>
        <v>1-0</v>
      </c>
      <c r="AV40" s="143" t="str">
        <f t="shared" si="21"/>
        <v>1</v>
      </c>
      <c r="AW40" s="143" t="str">
        <f t="shared" si="21"/>
        <v>47</v>
      </c>
      <c r="AX40" s="145">
        <f>IF(X40="Х","Х",IF(Y40&lt;3,B40,"Х"))</f>
        <v>18</v>
      </c>
      <c r="AY40" s="222">
        <v>30.0</v>
      </c>
      <c r="AZ40" s="152"/>
      <c r="BA40" s="222">
        <v>30.0</v>
      </c>
      <c r="BB40" s="146"/>
      <c r="BC40" s="49">
        <v>30.0</v>
      </c>
      <c r="BD40" s="225">
        <v>0.0</v>
      </c>
      <c r="BE40" s="49">
        <v>30.0</v>
      </c>
      <c r="BF40" s="224">
        <v>0.0</v>
      </c>
      <c r="BG40" s="49">
        <v>30.0</v>
      </c>
      <c r="BH40" s="49">
        <v>30.0</v>
      </c>
      <c r="BI40" s="49"/>
      <c r="BJ40" s="49"/>
      <c r="BK40" s="49"/>
      <c r="BL40" s="49"/>
      <c r="BM40" s="195">
        <v>18.0</v>
      </c>
      <c r="BN40" s="196">
        <v>17.0</v>
      </c>
      <c r="BO40" s="153" t="str">
        <f>IF(BM40&lt;BN40,BM40,"")</f>
        <v/>
      </c>
      <c r="BP40" s="196" t="s">
        <v>362</v>
      </c>
      <c r="BQ40" s="197">
        <f>IFERROR(__xludf.DUMMYFUNCTION("""COMPUTED_VALUE"""),34.0)</f>
        <v>34</v>
      </c>
      <c r="BR40" s="198">
        <v>18.0</v>
      </c>
      <c r="BS40" s="196">
        <v>20.0</v>
      </c>
      <c r="BT40" s="175">
        <f>IF(BR40&lt;BS40,BR40,"")</f>
        <v>18</v>
      </c>
      <c r="BU40" s="196">
        <v>18.0</v>
      </c>
      <c r="BV40" s="196">
        <f>IFERROR(__xludf.DUMMYFUNCTION("""COMPUTED_VALUE"""),34.0)</f>
        <v>34</v>
      </c>
      <c r="BW40" s="199">
        <v>18.0</v>
      </c>
      <c r="BX40" s="74" t="s">
        <v>361</v>
      </c>
      <c r="BY40" s="160">
        <f t="array" ref="BY40">IF(BW40&lt;BX40,BW40,"")</f>
        <v>18</v>
      </c>
      <c r="BZ40" s="160">
        <f t="shared" si="3"/>
        <v>18</v>
      </c>
      <c r="CA40" s="74">
        <f>IFERROR(__xludf.DUMMYFUNCTION("""COMPUTED_VALUE"""),35.0)</f>
        <v>35</v>
      </c>
      <c r="CB40" s="74">
        <f t="shared" si="4"/>
        <v>35</v>
      </c>
      <c r="CC40" s="200"/>
      <c r="CD40" s="243"/>
      <c r="CE40" s="200">
        <v>18.0</v>
      </c>
      <c r="CF40" s="25" t="s">
        <v>361</v>
      </c>
      <c r="CG40" s="153">
        <f t="array" ref="CG40">IF(CE40&lt;CF40,CE40,"")</f>
        <v>18</v>
      </c>
      <c r="CH40" s="74">
        <v>18.0</v>
      </c>
      <c r="CI40" s="182">
        <f>IFERROR(__xludf.DUMMYFUNCTION("""COMPUTED_VALUE"""),35.0)</f>
        <v>35</v>
      </c>
      <c r="CJ40" s="93">
        <v>18.0</v>
      </c>
      <c r="CK40" s="233" t="s">
        <v>361</v>
      </c>
      <c r="CL40" s="153">
        <f t="array" ref="CL40">IF(CJ40&lt;CK40,CJ40,"")</f>
        <v>18</v>
      </c>
      <c r="CM40" s="49">
        <v>18.0</v>
      </c>
      <c r="CN40" s="49">
        <f>IFERROR(__xludf.DUMMYFUNCTION("""COMPUTED_VALUE"""),35.0)</f>
        <v>35</v>
      </c>
      <c r="CO40" s="74">
        <v>18.0</v>
      </c>
      <c r="CP40" s="200" t="s">
        <v>361</v>
      </c>
      <c r="CQ40" s="153">
        <f t="array" ref="CQ40">IF(CO40&lt;CP40,CO40,"")</f>
        <v>18</v>
      </c>
      <c r="CR40" s="93">
        <v>18.0</v>
      </c>
      <c r="CS40" s="234">
        <f>IFERROR(__xludf.DUMMYFUNCTION("""COMPUTED_VALUE"""),35.0)</f>
        <v>35</v>
      </c>
      <c r="CT40" s="200">
        <v>18.0</v>
      </c>
      <c r="CU40" s="74" t="s">
        <v>361</v>
      </c>
      <c r="CV40" s="153">
        <f t="array" ref="CV40">IF(CT40&lt;CU40,CT40,"")</f>
        <v>18</v>
      </c>
      <c r="CW40" s="49">
        <v>18.0</v>
      </c>
      <c r="CX40" s="49">
        <f>IFERROR(__xludf.DUMMYFUNCTION("""COMPUTED_VALUE"""),35.0)</f>
        <v>35</v>
      </c>
      <c r="CY40" s="200">
        <v>18.0</v>
      </c>
      <c r="CZ40" s="74" t="s">
        <v>361</v>
      </c>
      <c r="DA40" s="153">
        <f t="array" ref="DA40">IF(CY40&lt;CZ40,CY40,"")</f>
        <v>18</v>
      </c>
      <c r="DB40" s="49">
        <v>18.0</v>
      </c>
      <c r="DC40" s="49">
        <f>IFERROR(__xludf.DUMMYFUNCTION("""COMPUTED_VALUE"""),35.0)</f>
        <v>35</v>
      </c>
      <c r="DD40" s="49">
        <v>18.0</v>
      </c>
      <c r="DE40" s="49"/>
      <c r="DF40" s="49"/>
      <c r="DG40" s="49"/>
      <c r="DH40" s="49"/>
    </row>
    <row r="41" ht="13.5" customHeight="1">
      <c r="A41" s="118"/>
      <c r="B41" s="165"/>
      <c r="C41" s="165"/>
      <c r="D41" s="165"/>
      <c r="E41" s="165"/>
      <c r="F41" s="166"/>
      <c r="G41" s="167"/>
      <c r="H41" s="168"/>
      <c r="I41" s="167"/>
      <c r="J41" s="168"/>
      <c r="K41" s="167"/>
      <c r="L41" s="168"/>
      <c r="M41" s="167"/>
      <c r="N41" s="168"/>
      <c r="O41" s="167"/>
      <c r="P41" s="168"/>
      <c r="Q41" s="167"/>
      <c r="R41" s="168"/>
      <c r="S41" s="167"/>
      <c r="T41" s="168"/>
      <c r="U41" s="169"/>
      <c r="V41" s="168"/>
      <c r="W41" s="169"/>
      <c r="X41" s="168"/>
      <c r="Y41" s="167"/>
      <c r="Z41" s="168"/>
      <c r="AA41" s="167"/>
      <c r="AB41" s="166"/>
      <c r="AC41" s="165"/>
      <c r="AD41" s="168"/>
      <c r="AE41" s="170"/>
      <c r="AF41" s="171"/>
      <c r="AG41" s="113"/>
      <c r="AH41" s="113"/>
      <c r="AI41" s="113"/>
      <c r="AJ41" s="113"/>
      <c r="AK41" s="113"/>
      <c r="AL41" s="113"/>
      <c r="AM41" s="113"/>
      <c r="AN41" s="113"/>
      <c r="AO41" s="113"/>
      <c r="AP41" s="113"/>
      <c r="AQ41" s="113"/>
      <c r="AR41" s="113"/>
      <c r="AS41" s="113"/>
      <c r="AT41" s="113"/>
      <c r="AU41" s="113"/>
      <c r="AV41" s="113"/>
      <c r="AW41" s="113"/>
      <c r="AY41" s="227">
        <v>31.0</v>
      </c>
      <c r="AZ41" s="152"/>
      <c r="BA41" s="228">
        <v>31.0</v>
      </c>
      <c r="BB41" s="146"/>
      <c r="BC41" s="49">
        <v>31.0</v>
      </c>
      <c r="BD41" s="225">
        <v>30.0</v>
      </c>
      <c r="BE41" s="49">
        <v>31.0</v>
      </c>
      <c r="BF41" s="224">
        <v>30.0</v>
      </c>
      <c r="BG41" s="49">
        <v>31.0</v>
      </c>
      <c r="BH41" s="49">
        <v>31.0</v>
      </c>
      <c r="BI41" s="49"/>
      <c r="BJ41" s="49"/>
      <c r="BK41" s="49"/>
      <c r="BL41" s="49"/>
      <c r="BM41" s="178"/>
      <c r="BO41" s="175" t="str">
        <f>IF(BO40="","",BN40)</f>
        <v/>
      </c>
      <c r="BP41" s="175" t="s">
        <v>362</v>
      </c>
      <c r="BQ41" s="197">
        <f>IFERROR(__xludf.DUMMYFUNCTION("""COMPUTED_VALUE"""),35.0)</f>
        <v>35</v>
      </c>
      <c r="BT41" s="175">
        <f>IF(BT40="","",BS40)</f>
        <v>20</v>
      </c>
      <c r="BU41" s="175">
        <v>20.0</v>
      </c>
      <c r="BV41" s="196">
        <f>IFERROR(__xludf.DUMMYFUNCTION("""COMPUTED_VALUE"""),36.0)</f>
        <v>36</v>
      </c>
      <c r="BW41" s="178"/>
      <c r="BY41" s="160" t="str">
        <f>IF(BY40="","",BX40)</f>
        <v> </v>
      </c>
      <c r="BZ41" s="160" t="str">
        <f t="shared" si="3"/>
        <v> </v>
      </c>
      <c r="CA41" s="200">
        <f>IFERROR(__xludf.DUMMYFUNCTION("""COMPUTED_VALUE"""),36.0)</f>
        <v>36</v>
      </c>
      <c r="CB41" s="74">
        <f t="shared" si="4"/>
        <v>36</v>
      </c>
      <c r="CC41" s="200"/>
      <c r="CD41" s="243"/>
      <c r="CG41" s="180" t="str">
        <f>IF(CG40="","",CF40)</f>
        <v> </v>
      </c>
      <c r="CH41" s="200" t="s">
        <v>361</v>
      </c>
      <c r="CI41" s="182">
        <f>IFERROR(__xludf.DUMMYFUNCTION("""COMPUTED_VALUE"""),36.0)</f>
        <v>36</v>
      </c>
      <c r="CJ41" s="49" t="s">
        <v>362</v>
      </c>
      <c r="CK41" s="235"/>
      <c r="CL41" s="180" t="str">
        <f>IF(CL40="","",CK40)</f>
        <v> </v>
      </c>
      <c r="CM41" s="49" t="s">
        <v>361</v>
      </c>
      <c r="CN41" s="49">
        <f>IFERROR(__xludf.DUMMYFUNCTION("""COMPUTED_VALUE"""),36.0)</f>
        <v>36</v>
      </c>
      <c r="CQ41" s="180" t="str">
        <f>IF(CQ40="","",CP40)</f>
        <v> </v>
      </c>
      <c r="CR41" s="49" t="s">
        <v>361</v>
      </c>
      <c r="CS41" s="234">
        <f>IFERROR(__xludf.DUMMYFUNCTION("""COMPUTED_VALUE"""),36.0)</f>
        <v>36</v>
      </c>
      <c r="CV41" s="180" t="str">
        <f>IF(CV40="","",CU40)</f>
        <v> </v>
      </c>
      <c r="CW41" s="49" t="s">
        <v>361</v>
      </c>
      <c r="CX41" s="49">
        <f>IFERROR(__xludf.DUMMYFUNCTION("""COMPUTED_VALUE"""),36.0)</f>
        <v>36</v>
      </c>
      <c r="DA41" s="180" t="str">
        <f>IF(DA40="","",CZ40)</f>
        <v> </v>
      </c>
      <c r="DB41" s="49" t="s">
        <v>361</v>
      </c>
      <c r="DC41" s="49">
        <f>IFERROR(__xludf.DUMMYFUNCTION("""COMPUTED_VALUE"""),36.0)</f>
        <v>36</v>
      </c>
      <c r="DD41" s="49" t="s">
        <v>362</v>
      </c>
      <c r="DE41" s="49"/>
      <c r="DF41" s="49"/>
      <c r="DG41" s="49"/>
      <c r="DH41" s="49"/>
    </row>
    <row r="42" ht="13.5" customHeight="1">
      <c r="A42" s="118"/>
      <c r="B42" s="187">
        <v>19.0</v>
      </c>
      <c r="C42" s="188" t="str">
        <f>(VLOOKUP($B42,'Пр.взв'!$D$6:$J$63,2,0))</f>
        <v>МУХАМЕДРИЗАЕВ Рустам</v>
      </c>
      <c r="D42" s="189" t="str">
        <f>(VLOOKUP($B42,'Пр.взв'!$D$6:$J$63,5,0))</f>
        <v>2р</v>
      </c>
      <c r="E42" s="190" t="str">
        <f>(VLOOKUP($B42,'Пр.взв'!$D$6:$M$63,8,0))</f>
        <v>Москва</v>
      </c>
      <c r="F42" s="130">
        <f>B44</f>
        <v>20</v>
      </c>
      <c r="G42" s="131"/>
      <c r="H42" s="132">
        <v>17.0</v>
      </c>
      <c r="I42" s="131"/>
      <c r="J42" s="133" t="str">
        <f>IF(H42="Х","Х",IF($AC42&lt;6," ","Х"))</f>
        <v> </v>
      </c>
      <c r="K42" s="134"/>
      <c r="L42" s="133" t="str">
        <f>IF(J42="Х","Х",IF(K42&lt;3," ",IF($AC42&lt;6," ","Х")))</f>
        <v> </v>
      </c>
      <c r="M42" s="134"/>
      <c r="N42" s="133" t="str">
        <f>IF(L42="Х","Х",IF(M42&lt;3," ",IF($AC42&lt;6," ","Х")))</f>
        <v> </v>
      </c>
      <c r="O42" s="134"/>
      <c r="P42" s="133" t="str">
        <f>IF(N42="Х","Х",IF(O42&lt;3," ",IF($AC42&lt;6," ","Х")))</f>
        <v> </v>
      </c>
      <c r="Q42" s="134"/>
      <c r="R42" s="133" t="str">
        <f>IF(P42="Х","Х",IF(Q42&lt;3," ",IF($AC42&lt;6," ","Х")))</f>
        <v> </v>
      </c>
      <c r="S42" s="134"/>
      <c r="T42" s="133" t="str">
        <f>IF(R42="Х","Х",IF(S42&lt;3," ",IF($AC42&lt;6," ","Х")))</f>
        <v> </v>
      </c>
      <c r="U42" s="135"/>
      <c r="V42" s="133" t="str">
        <f>IF(T42="Х","Х",IF(U42&lt;3," ",IF($AC42&lt;6," ","Х")))</f>
        <v> </v>
      </c>
      <c r="W42" s="135"/>
      <c r="X42" s="133" t="str">
        <f>IF(V42="А1",$AZ$7,IF(V42="Б2",$AZ$6,IF(V42="Б1",$BA$7,IF(V42="А2",$BA$6,IF(V42="Х","Х",IF(V42&lt;6," "," "))))))</f>
        <v> </v>
      </c>
      <c r="Y42" s="136"/>
      <c r="Z42" s="133" t="str">
        <f>IF(V42="Х","Х",IF(ISBLANK(Y42),"",IF(Y42&gt;2.5," ",IF(B42=BB$6,BB$7,BB$6))))</f>
        <v/>
      </c>
      <c r="AA42" s="136"/>
      <c r="AB42" s="240" t="str">
        <f>IF(H42="Х",F$5,IF(J42="Х",H$5,IF(L42="Х",J$5,IF(N42="Х",L$5,IF(P42="Х",N$5,IF(R42="Х",P$5,IF(T42="Х",R$5,IF(X42="Х",T$5,""))))))))</f>
        <v/>
      </c>
      <c r="AC42" s="138">
        <f>SUM(G42+I42+K42+M42+O42+Q42+S42+U42+Y42+AA42)</f>
        <v>0</v>
      </c>
      <c r="AD42" s="241" t="str">
        <f>AF42</f>
        <v>1-54</v>
      </c>
      <c r="AE42" s="140" t="str">
        <f>AD42</f>
        <v>1-54</v>
      </c>
      <c r="AF42" s="141" t="str">
        <f>COUNTIF(AG$6:AG$148,"&gt;"&amp;AG$6:AG$148)+1&amp;REPT("-"&amp;COUNTIF(AG$6:AG$148,"&gt;="&amp;AG$6:AG$148),COUNTIF(AG$6:AG$148,AG42)&gt;1)</f>
        <v>1-54</v>
      </c>
      <c r="AG42" s="142">
        <f>(AR42*100)+(AP42*10)-AC42</f>
        <v>1280</v>
      </c>
      <c r="AH42" s="143" t="str">
        <f>IF(OR(F42="Х",F42="св")," ",IF(AND(G42&gt;=0,G42&lt;3),"1"," "))</f>
        <v>1</v>
      </c>
      <c r="AI42" s="90" t="str">
        <f>IF(OR(H42="Х",H42="св")," ",IF(AND(I42&gt;=0,I42&lt;3),"1"," "))</f>
        <v>1</v>
      </c>
      <c r="AJ42" s="90" t="str">
        <f>IF(OR(J42="Х",J42="св")," ",IF(AND(K42&gt;=0,K42&lt;3),"1"," "))</f>
        <v>1</v>
      </c>
      <c r="AK42" s="90" t="str">
        <f>IF(OR(L42="Х",L42="св")," ",IF(AND(M42&gt;=0,M42&lt;3),"1"," "))</f>
        <v>1</v>
      </c>
      <c r="AL42" s="90" t="str">
        <f>IF(OR(N42="Х",N42="св")," ",IF(AND(O42&gt;=0,O42&lt;3),"1"," "))</f>
        <v>1</v>
      </c>
      <c r="AM42" s="90" t="str">
        <f>IF(OR(P42="Х",P42="св")," ",IF(AND(Q42&gt;=0,Q42&lt;3),"1"," "))</f>
        <v>1</v>
      </c>
      <c r="AN42" s="90" t="str">
        <f>IF(OR(R42="Х",R42="св")," ",IF(AND(S42&gt;=0,S42&lt;3),"1"," "))</f>
        <v>1</v>
      </c>
      <c r="AO42" s="90" t="str">
        <f>IF(OR(T42="Х",T42="св")," ",IF(AND(U42&gt;=0,U42&lt;3),"1"," "))</f>
        <v>1</v>
      </c>
      <c r="AP42" s="90">
        <f>COUNTIF(AH42:AO43,1)</f>
        <v>8</v>
      </c>
      <c r="AQ42" s="90">
        <f>AG42-AC42</f>
        <v>1280</v>
      </c>
      <c r="AR42" s="144">
        <f>IF(F42=0,0,IF(F42="Х",1,IF(H42="Х",2,IF(J42="Х",3,IF(L42="Х",4,IF(N42="Х",5,IF(P42="Х",6,IF(R42="Х",7,IF(T42="Х",8,IF(V42="Х",9,IF(Y42&gt;2.5,10,IF(AA42&gt;2.5,11,IF(AA42&gt;=0,12,IF(AA42=" ",0,))))))))))))))</f>
        <v>12</v>
      </c>
      <c r="AS42" s="90" t="str">
        <f>COUNTIF(AG$6:AG$134,"&gt;"&amp;AG$6:AG$134)+1&amp;REPT("-"&amp;COUNTIF(AG$6:AG$134,"&gt;="&amp;AG$6:AG$134),COUNTIF(AG$6:AG$134,AG42)&gt;1)</f>
        <v>1-54</v>
      </c>
      <c r="AT42" s="143" t="str">
        <f t="shared" ref="AT42:AW42" si="22">COUNTIF(AU$6:AU$134,"&gt;"&amp;AU$6:AU$134)+1&amp;REPT("-"&amp;COUNTIF(AU$6:AU$134,"&gt;="&amp;AU$6:AU$134),COUNTIF(AU$6:AU$134,AU42)&gt;1)</f>
        <v>1-64</v>
      </c>
      <c r="AU42" s="143" t="str">
        <f t="shared" si="22"/>
        <v>1-0</v>
      </c>
      <c r="AV42" s="143" t="str">
        <f t="shared" si="22"/>
        <v>1</v>
      </c>
      <c r="AW42" s="143" t="str">
        <f t="shared" si="22"/>
        <v>46</v>
      </c>
      <c r="AX42" s="145">
        <f>IF(X42="Х","Х",IF(Y42&lt;3,B42,"Х"))</f>
        <v>19</v>
      </c>
      <c r="AY42" s="222">
        <v>32.0</v>
      </c>
      <c r="AZ42" s="152"/>
      <c r="BA42" s="222">
        <v>32.0</v>
      </c>
      <c r="BB42" s="146"/>
      <c r="BC42" s="49">
        <v>32.0</v>
      </c>
      <c r="BD42" s="225">
        <v>31.0</v>
      </c>
      <c r="BE42" s="245">
        <v>32.0</v>
      </c>
      <c r="BF42" s="224">
        <v>32.0</v>
      </c>
      <c r="BG42" s="117">
        <v>32.0</v>
      </c>
      <c r="BH42" s="49">
        <v>32.0</v>
      </c>
      <c r="BI42" s="49"/>
      <c r="BJ42" s="49"/>
      <c r="BK42" s="49"/>
      <c r="BL42" s="49"/>
      <c r="BM42" s="195">
        <v>19.0</v>
      </c>
      <c r="BN42" s="196">
        <v>20.0</v>
      </c>
      <c r="BO42" s="153">
        <f>IF(BM42&lt;BN42,BM42,"")</f>
        <v>19</v>
      </c>
      <c r="BP42" s="196">
        <v>19.0</v>
      </c>
      <c r="BQ42" s="197">
        <f>IFERROR(__xludf.DUMMYFUNCTION("""COMPUTED_VALUE"""),36.0)</f>
        <v>36</v>
      </c>
      <c r="BR42" s="198">
        <v>19.0</v>
      </c>
      <c r="BS42" s="196">
        <v>17.0</v>
      </c>
      <c r="BT42" s="175" t="str">
        <f>IF(BR42&lt;BS42,BR42,"")</f>
        <v/>
      </c>
      <c r="BU42" s="196" t="s">
        <v>362</v>
      </c>
      <c r="BV42" s="196">
        <f>IFERROR(__xludf.DUMMYFUNCTION("""COMPUTED_VALUE"""),35.0)</f>
        <v>35</v>
      </c>
      <c r="BW42" s="199">
        <v>19.0</v>
      </c>
      <c r="BX42" s="74" t="s">
        <v>361</v>
      </c>
      <c r="BY42" s="160">
        <f t="array" ref="BY42">IF(BW42&lt;BX42,BW42,"")</f>
        <v>19</v>
      </c>
      <c r="BZ42" s="160">
        <f t="shared" si="3"/>
        <v>19</v>
      </c>
      <c r="CA42" s="74">
        <f>IFERROR(__xludf.DUMMYFUNCTION("""COMPUTED_VALUE"""),37.0)</f>
        <v>37</v>
      </c>
      <c r="CB42" s="74">
        <f t="shared" si="4"/>
        <v>37</v>
      </c>
      <c r="CC42" s="200"/>
      <c r="CD42" s="243"/>
      <c r="CE42" s="200">
        <v>19.0</v>
      </c>
      <c r="CF42" s="25" t="s">
        <v>361</v>
      </c>
      <c r="CG42" s="153">
        <f t="array" ref="CG42">IF(CE42&lt;CF42,CE42,"")</f>
        <v>19</v>
      </c>
      <c r="CH42" s="74">
        <v>19.0</v>
      </c>
      <c r="CI42" s="182">
        <f>IFERROR(__xludf.DUMMYFUNCTION("""COMPUTED_VALUE"""),37.0)</f>
        <v>37</v>
      </c>
      <c r="CJ42" s="93">
        <v>19.0</v>
      </c>
      <c r="CK42" s="233" t="s">
        <v>361</v>
      </c>
      <c r="CL42" s="153">
        <f t="array" ref="CL42">IF(CJ42&lt;CK42,CJ42,"")</f>
        <v>19</v>
      </c>
      <c r="CM42" s="49">
        <v>19.0</v>
      </c>
      <c r="CN42" s="49">
        <f>IFERROR(__xludf.DUMMYFUNCTION("""COMPUTED_VALUE"""),37.0)</f>
        <v>37</v>
      </c>
      <c r="CO42" s="74">
        <v>19.0</v>
      </c>
      <c r="CP42" s="200" t="s">
        <v>361</v>
      </c>
      <c r="CQ42" s="153">
        <f t="array" ref="CQ42">IF(CO42&lt;CP42,CO42,"")</f>
        <v>19</v>
      </c>
      <c r="CR42" s="93">
        <v>19.0</v>
      </c>
      <c r="CS42" s="234">
        <f>IFERROR(__xludf.DUMMYFUNCTION("""COMPUTED_VALUE"""),37.0)</f>
        <v>37</v>
      </c>
      <c r="CT42" s="200">
        <v>19.0</v>
      </c>
      <c r="CU42" s="74" t="s">
        <v>361</v>
      </c>
      <c r="CV42" s="153">
        <f t="array" ref="CV42">IF(CT42&lt;CU42,CT42,"")</f>
        <v>19</v>
      </c>
      <c r="CW42" s="49">
        <v>19.0</v>
      </c>
      <c r="CX42" s="49">
        <f>IFERROR(__xludf.DUMMYFUNCTION("""COMPUTED_VALUE"""),37.0)</f>
        <v>37</v>
      </c>
      <c r="CY42" s="200">
        <v>19.0</v>
      </c>
      <c r="CZ42" s="74" t="s">
        <v>361</v>
      </c>
      <c r="DA42" s="153">
        <f t="array" ref="DA42">IF(CY42&lt;CZ42,CY42,"")</f>
        <v>19</v>
      </c>
      <c r="DB42" s="49">
        <v>19.0</v>
      </c>
      <c r="DC42" s="49">
        <f>IFERROR(__xludf.DUMMYFUNCTION("""COMPUTED_VALUE"""),37.0)</f>
        <v>37</v>
      </c>
      <c r="DD42" s="49">
        <v>19.0</v>
      </c>
      <c r="DE42" s="49"/>
      <c r="DF42" s="49"/>
      <c r="DG42" s="49"/>
      <c r="DH42" s="49"/>
    </row>
    <row r="43" ht="13.5" customHeight="1">
      <c r="A43" s="118"/>
      <c r="B43" s="165"/>
      <c r="C43" s="165"/>
      <c r="D43" s="165"/>
      <c r="E43" s="165"/>
      <c r="F43" s="166"/>
      <c r="G43" s="167"/>
      <c r="H43" s="168"/>
      <c r="I43" s="167"/>
      <c r="J43" s="168"/>
      <c r="K43" s="167"/>
      <c r="L43" s="168"/>
      <c r="M43" s="167"/>
      <c r="N43" s="168"/>
      <c r="O43" s="167"/>
      <c r="P43" s="168"/>
      <c r="Q43" s="167"/>
      <c r="R43" s="168"/>
      <c r="S43" s="167"/>
      <c r="T43" s="168"/>
      <c r="U43" s="169"/>
      <c r="V43" s="168"/>
      <c r="W43" s="169"/>
      <c r="X43" s="168"/>
      <c r="Y43" s="167"/>
      <c r="Z43" s="168"/>
      <c r="AA43" s="167"/>
      <c r="AB43" s="166"/>
      <c r="AC43" s="165"/>
      <c r="AD43" s="168"/>
      <c r="AE43" s="170"/>
      <c r="AF43" s="171"/>
      <c r="AG43" s="113"/>
      <c r="AH43" s="113"/>
      <c r="AI43" s="113"/>
      <c r="AJ43" s="113"/>
      <c r="AK43" s="113"/>
      <c r="AL43" s="113"/>
      <c r="AM43" s="113"/>
      <c r="AN43" s="113"/>
      <c r="AO43" s="113"/>
      <c r="AP43" s="113"/>
      <c r="AQ43" s="113"/>
      <c r="AR43" s="113"/>
      <c r="AS43" s="113"/>
      <c r="AT43" s="113"/>
      <c r="AU43" s="113"/>
      <c r="AV43" s="113"/>
      <c r="AW43" s="113"/>
      <c r="AY43" s="227">
        <v>33.0</v>
      </c>
      <c r="AZ43" s="152"/>
      <c r="BA43" s="228">
        <v>33.0</v>
      </c>
      <c r="BB43" s="146"/>
      <c r="BC43" s="49">
        <v>33.0</v>
      </c>
      <c r="BD43" s="225">
        <v>32.0</v>
      </c>
      <c r="BE43" s="49">
        <v>33.0</v>
      </c>
      <c r="BF43" s="224">
        <v>31.0</v>
      </c>
      <c r="BG43" s="49">
        <v>33.0</v>
      </c>
      <c r="BH43" s="49">
        <v>33.0</v>
      </c>
      <c r="BI43" s="49"/>
      <c r="BJ43" s="49"/>
      <c r="BK43" s="49"/>
      <c r="BL43" s="49"/>
      <c r="BM43" s="178"/>
      <c r="BO43" s="175">
        <f>IF(BO42="","",BN42)</f>
        <v>20</v>
      </c>
      <c r="BP43" s="175">
        <v>20.0</v>
      </c>
      <c r="BQ43" s="197">
        <f>IFERROR(__xludf.DUMMYFUNCTION("""COMPUTED_VALUE"""),37.0)</f>
        <v>37</v>
      </c>
      <c r="BT43" s="175" t="str">
        <f>IF(BT42="","",BS42)</f>
        <v/>
      </c>
      <c r="BU43" s="175" t="s">
        <v>362</v>
      </c>
      <c r="BV43" s="196">
        <f>IFERROR(__xludf.DUMMYFUNCTION("""COMPUTED_VALUE"""),37.0)</f>
        <v>37</v>
      </c>
      <c r="BW43" s="178"/>
      <c r="BY43" s="160" t="str">
        <f>IF(BY42="","",BX42)</f>
        <v> </v>
      </c>
      <c r="BZ43" s="160" t="str">
        <f t="shared" si="3"/>
        <v> </v>
      </c>
      <c r="CA43" s="200">
        <f>IFERROR(__xludf.DUMMYFUNCTION("""COMPUTED_VALUE"""),38.0)</f>
        <v>38</v>
      </c>
      <c r="CB43" s="74">
        <f t="shared" si="4"/>
        <v>38</v>
      </c>
      <c r="CC43" s="200"/>
      <c r="CD43" s="243"/>
      <c r="CG43" s="180" t="str">
        <f>IF(CG42="","",CF42)</f>
        <v> </v>
      </c>
      <c r="CH43" s="200" t="s">
        <v>361</v>
      </c>
      <c r="CI43" s="182">
        <f>IFERROR(__xludf.DUMMYFUNCTION("""COMPUTED_VALUE"""),38.0)</f>
        <v>38</v>
      </c>
      <c r="CJ43" s="49" t="s">
        <v>362</v>
      </c>
      <c r="CK43" s="235"/>
      <c r="CL43" s="180" t="str">
        <f>IF(CL42="","",CK42)</f>
        <v> </v>
      </c>
      <c r="CM43" s="49" t="s">
        <v>361</v>
      </c>
      <c r="CN43" s="49">
        <f>IFERROR(__xludf.DUMMYFUNCTION("""COMPUTED_VALUE"""),38.0)</f>
        <v>38</v>
      </c>
      <c r="CQ43" s="180" t="str">
        <f>IF(CQ42="","",CP42)</f>
        <v> </v>
      </c>
      <c r="CR43" s="49" t="s">
        <v>361</v>
      </c>
      <c r="CS43" s="234">
        <f>IFERROR(__xludf.DUMMYFUNCTION("""COMPUTED_VALUE"""),38.0)</f>
        <v>38</v>
      </c>
      <c r="CV43" s="180" t="str">
        <f>IF(CV42="","",CU42)</f>
        <v> </v>
      </c>
      <c r="CW43" s="49" t="s">
        <v>361</v>
      </c>
      <c r="CX43" s="49">
        <f>IFERROR(__xludf.DUMMYFUNCTION("""COMPUTED_VALUE"""),38.0)</f>
        <v>38</v>
      </c>
      <c r="DA43" s="180" t="str">
        <f>IF(DA42="","",CZ42)</f>
        <v> </v>
      </c>
      <c r="DB43" s="49" t="s">
        <v>361</v>
      </c>
      <c r="DC43" s="49">
        <f>IFERROR(__xludf.DUMMYFUNCTION("""COMPUTED_VALUE"""),38.0)</f>
        <v>38</v>
      </c>
      <c r="DD43" s="49" t="s">
        <v>362</v>
      </c>
      <c r="DE43" s="49"/>
      <c r="DF43" s="49"/>
      <c r="DG43" s="49"/>
      <c r="DH43" s="49"/>
    </row>
    <row r="44" ht="13.5" customHeight="1">
      <c r="A44" s="118"/>
      <c r="B44" s="187">
        <v>20.0</v>
      </c>
      <c r="C44" s="188" t="str">
        <f>(VLOOKUP($B44,'Пр.взв'!$D$6:$J$63,2,0))</f>
        <v>ХАЧАТРЯН Сос</v>
      </c>
      <c r="D44" s="189" t="str">
        <f>(VLOOKUP($B44,'Пр.взв'!$D$6:$J$63,5,0))</f>
        <v>КМС</v>
      </c>
      <c r="E44" s="190" t="str">
        <f>(VLOOKUP($B44,'Пр.взв'!$D$6:$M$63,8,0))</f>
        <v>Краснодарский</v>
      </c>
      <c r="F44" s="130">
        <f>B42</f>
        <v>19</v>
      </c>
      <c r="G44" s="131"/>
      <c r="H44" s="132">
        <v>18.0</v>
      </c>
      <c r="I44" s="131"/>
      <c r="J44" s="133" t="str">
        <f>IF(H44="Х","Х",IF($AC44&lt;6," ","Х"))</f>
        <v> </v>
      </c>
      <c r="K44" s="134"/>
      <c r="L44" s="133" t="str">
        <f>IF(J44="Х","Х",IF(K44&lt;3," ",IF($AC44&lt;6," ","Х")))</f>
        <v> </v>
      </c>
      <c r="M44" s="134"/>
      <c r="N44" s="133" t="str">
        <f>IF(L44="Х","Х",IF(M44&lt;3," ",IF($AC44&lt;6," ","Х")))</f>
        <v> </v>
      </c>
      <c r="O44" s="134"/>
      <c r="P44" s="133" t="str">
        <f>IF(N44="Х","Х",IF(O44&lt;3," ",IF($AC44&lt;6," ","Х")))</f>
        <v> </v>
      </c>
      <c r="Q44" s="134"/>
      <c r="R44" s="133" t="str">
        <f>IF(P44="Х","Х",IF(Q44&lt;3," ",IF($AC44&lt;6," ","Х")))</f>
        <v> </v>
      </c>
      <c r="S44" s="134"/>
      <c r="T44" s="133" t="str">
        <f>IF(R44="Х","Х",IF(S44&lt;3," ",IF($AC44&lt;6," ","Х")))</f>
        <v> </v>
      </c>
      <c r="U44" s="135"/>
      <c r="V44" s="133" t="str">
        <f>IF(T44="Х","Х",IF(U44&lt;3," ",IF($AC44&lt;6," ","Х")))</f>
        <v> </v>
      </c>
      <c r="W44" s="135"/>
      <c r="X44" s="133" t="str">
        <f>IF(V44="А1",$AZ$7,IF(V44="Б2",$AZ$6,IF(V44="Б1",$BA$7,IF(V44="А2",$BA$6,IF(V44="Х","Х",IF(V44&lt;6," "," "))))))</f>
        <v> </v>
      </c>
      <c r="Y44" s="136"/>
      <c r="Z44" s="133" t="str">
        <f>IF(V44="Х","Х",IF(ISBLANK(Y44),"",IF(Y44&gt;2.5," ",IF(B44=BB$6,BB$7,BB$6))))</f>
        <v/>
      </c>
      <c r="AA44" s="136"/>
      <c r="AB44" s="240" t="str">
        <f>IF(H44="Х",F$5,IF(J44="Х",H$5,IF(L44="Х",J$5,IF(N44="Х",L$5,IF(P44="Х",N$5,IF(R44="Х",P$5,IF(T44="Х",R$5,IF(X44="Х",T$5,""))))))))</f>
        <v/>
      </c>
      <c r="AC44" s="138">
        <f>SUM(G44+I44+K44+M44+O44+Q44+S44+U44+Y44+AA44)</f>
        <v>0</v>
      </c>
      <c r="AD44" s="241" t="str">
        <f>AF44</f>
        <v>1-54</v>
      </c>
      <c r="AE44" s="140" t="str">
        <f>AD44</f>
        <v>1-54</v>
      </c>
      <c r="AF44" s="141" t="str">
        <f>COUNTIF(AG$6:AG$148,"&gt;"&amp;AG$6:AG$148)+1&amp;REPT("-"&amp;COUNTIF(AG$6:AG$148,"&gt;="&amp;AG$6:AG$148),COUNTIF(AG$6:AG$148,AG44)&gt;1)</f>
        <v>1-54</v>
      </c>
      <c r="AG44" s="142">
        <f>(AR44*100)+(AP44*10)-AC44</f>
        <v>1280</v>
      </c>
      <c r="AH44" s="143" t="str">
        <f>IF(OR(F44="Х",F44="св")," ",IF(AND(G44&gt;=0,G44&lt;3),"1"," "))</f>
        <v>1</v>
      </c>
      <c r="AI44" s="90" t="str">
        <f>IF(OR(H44="Х",H44="св")," ",IF(AND(I44&gt;=0,I44&lt;3),"1"," "))</f>
        <v>1</v>
      </c>
      <c r="AJ44" s="90" t="str">
        <f>IF(OR(J44="Х",J44="св")," ",IF(AND(K44&gt;=0,K44&lt;3),"1"," "))</f>
        <v>1</v>
      </c>
      <c r="AK44" s="90" t="str">
        <f>IF(OR(L44="Х",L44="св")," ",IF(AND(M44&gt;=0,M44&lt;3),"1"," "))</f>
        <v>1</v>
      </c>
      <c r="AL44" s="90" t="str">
        <f>IF(OR(N44="Х",N44="св")," ",IF(AND(O44&gt;=0,O44&lt;3),"1"," "))</f>
        <v>1</v>
      </c>
      <c r="AM44" s="90" t="str">
        <f>IF(OR(P44="Х",P44="св")," ",IF(AND(Q44&gt;=0,Q44&lt;3),"1"," "))</f>
        <v>1</v>
      </c>
      <c r="AN44" s="90" t="str">
        <f>IF(OR(R44="Х",R44="св")," ",IF(AND(S44&gt;=0,S44&lt;3),"1"," "))</f>
        <v>1</v>
      </c>
      <c r="AO44" s="90" t="str">
        <f>IF(OR(T44="Х",T44="св")," ",IF(AND(U44&gt;=0,U44&lt;3),"1"," "))</f>
        <v>1</v>
      </c>
      <c r="AP44" s="90">
        <f>COUNTIF(AH44:AO45,1)</f>
        <v>8</v>
      </c>
      <c r="AQ44" s="90">
        <f>AG44-AC44</f>
        <v>1280</v>
      </c>
      <c r="AR44" s="144">
        <f>IF(F44=0,0,IF(F44="Х",1,IF(H44="Х",2,IF(J44="Х",3,IF(L44="Х",4,IF(N44="Х",5,IF(P44="Х",6,IF(R44="Х",7,IF(T44="Х",8,IF(V44="Х",9,IF(Y44&gt;2.5,10,IF(AA44&gt;2.5,11,IF(AA44&gt;=0,12,IF(AA44=" ",0,))))))))))))))</f>
        <v>12</v>
      </c>
      <c r="AS44" s="90" t="str">
        <f>COUNTIF(AG$6:AG$134,"&gt;"&amp;AG$6:AG$134)+1&amp;REPT("-"&amp;COUNTIF(AG$6:AG$134,"&gt;="&amp;AG$6:AG$134),COUNTIF(AG$6:AG$134,AG44)&gt;1)</f>
        <v>1-54</v>
      </c>
      <c r="AT44" s="143" t="str">
        <f t="shared" ref="AT44:AW44" si="23">COUNTIF(AU$6:AU$134,"&gt;"&amp;AU$6:AU$134)+1&amp;REPT("-"&amp;COUNTIF(AU$6:AU$134,"&gt;="&amp;AU$6:AU$134),COUNTIF(AU$6:AU$134,AU44)&gt;1)</f>
        <v>1-64</v>
      </c>
      <c r="AU44" s="143" t="str">
        <f t="shared" si="23"/>
        <v>1-0</v>
      </c>
      <c r="AV44" s="143" t="str">
        <f t="shared" si="23"/>
        <v>1</v>
      </c>
      <c r="AW44" s="143" t="str">
        <f t="shared" si="23"/>
        <v>45</v>
      </c>
      <c r="AX44" s="145">
        <f>IF(X44="Х","Х",IF(Y44&lt;3,B44,"Х"))</f>
        <v>20</v>
      </c>
      <c r="AY44" s="222">
        <v>34.0</v>
      </c>
      <c r="AZ44" s="152"/>
      <c r="BA44" s="222">
        <v>34.0</v>
      </c>
      <c r="BB44" s="146"/>
      <c r="BC44" s="49">
        <v>34.0</v>
      </c>
      <c r="BD44" s="225">
        <v>33.0</v>
      </c>
      <c r="BE44" s="49">
        <v>34.0</v>
      </c>
      <c r="BF44" s="224">
        <v>33.0</v>
      </c>
      <c r="BG44" s="49">
        <v>34.0</v>
      </c>
      <c r="BH44" s="49">
        <v>34.0</v>
      </c>
      <c r="BI44" s="49"/>
      <c r="BJ44" s="49"/>
      <c r="BK44" s="49"/>
      <c r="BL44" s="49"/>
      <c r="BM44" s="195">
        <v>20.0</v>
      </c>
      <c r="BN44" s="196">
        <v>19.0</v>
      </c>
      <c r="BO44" s="153" t="str">
        <f>IF(BM44&lt;BN44,BM44,"")</f>
        <v/>
      </c>
      <c r="BP44" s="196" t="s">
        <v>362</v>
      </c>
      <c r="BQ44" s="197">
        <f>IFERROR(__xludf.DUMMYFUNCTION("""COMPUTED_VALUE"""),38.0)</f>
        <v>38</v>
      </c>
      <c r="BR44" s="198">
        <v>20.0</v>
      </c>
      <c r="BS44" s="196">
        <v>18.0</v>
      </c>
      <c r="BT44" s="175" t="str">
        <f>IF(BR44&lt;BS44,BR44,"")</f>
        <v/>
      </c>
      <c r="BU44" s="196" t="s">
        <v>362</v>
      </c>
      <c r="BV44" s="196">
        <f>IFERROR(__xludf.DUMMYFUNCTION("""COMPUTED_VALUE"""),38.0)</f>
        <v>38</v>
      </c>
      <c r="BW44" s="199">
        <v>20.0</v>
      </c>
      <c r="BX44" s="74" t="s">
        <v>361</v>
      </c>
      <c r="BY44" s="160">
        <f t="array" ref="BY44">IF(BW44&lt;BX44,BW44,"")</f>
        <v>20</v>
      </c>
      <c r="BZ44" s="160">
        <f t="shared" si="3"/>
        <v>20</v>
      </c>
      <c r="CA44" s="74">
        <f>IFERROR(__xludf.DUMMYFUNCTION("""COMPUTED_VALUE"""),39.0)</f>
        <v>39</v>
      </c>
      <c r="CB44" s="74">
        <f t="shared" si="4"/>
        <v>39</v>
      </c>
      <c r="CC44" s="200"/>
      <c r="CD44" s="243"/>
      <c r="CE44" s="200">
        <v>20.0</v>
      </c>
      <c r="CF44" s="25" t="s">
        <v>361</v>
      </c>
      <c r="CG44" s="153">
        <f t="array" ref="CG44">IF(CE44&lt;CF44,CE44,"")</f>
        <v>20</v>
      </c>
      <c r="CH44" s="74">
        <v>20.0</v>
      </c>
      <c r="CI44" s="182">
        <f>IFERROR(__xludf.DUMMYFUNCTION("""COMPUTED_VALUE"""),39.0)</f>
        <v>39</v>
      </c>
      <c r="CJ44" s="93">
        <v>20.0</v>
      </c>
      <c r="CK44" s="233" t="s">
        <v>361</v>
      </c>
      <c r="CL44" s="153">
        <f t="array" ref="CL44">IF(CJ44&lt;CK44,CJ44,"")</f>
        <v>20</v>
      </c>
      <c r="CM44" s="49">
        <v>20.0</v>
      </c>
      <c r="CN44" s="49">
        <f>IFERROR(__xludf.DUMMYFUNCTION("""COMPUTED_VALUE"""),39.0)</f>
        <v>39</v>
      </c>
      <c r="CO44" s="74">
        <v>20.0</v>
      </c>
      <c r="CP44" s="200" t="s">
        <v>361</v>
      </c>
      <c r="CQ44" s="153">
        <f t="array" ref="CQ44">IF(CO44&lt;CP44,CO44,"")</f>
        <v>20</v>
      </c>
      <c r="CR44" s="93">
        <v>20.0</v>
      </c>
      <c r="CS44" s="234">
        <f>IFERROR(__xludf.DUMMYFUNCTION("""COMPUTED_VALUE"""),39.0)</f>
        <v>39</v>
      </c>
      <c r="CT44" s="200">
        <v>20.0</v>
      </c>
      <c r="CU44" s="74" t="s">
        <v>361</v>
      </c>
      <c r="CV44" s="153">
        <f t="array" ref="CV44">IF(CT44&lt;CU44,CT44,"")</f>
        <v>20</v>
      </c>
      <c r="CW44" s="49">
        <v>20.0</v>
      </c>
      <c r="CX44" s="49">
        <f>IFERROR(__xludf.DUMMYFUNCTION("""COMPUTED_VALUE"""),39.0)</f>
        <v>39</v>
      </c>
      <c r="CY44" s="200">
        <v>20.0</v>
      </c>
      <c r="CZ44" s="74" t="s">
        <v>361</v>
      </c>
      <c r="DA44" s="153">
        <f t="array" ref="DA44">IF(CY44&lt;CZ44,CY44,"")</f>
        <v>20</v>
      </c>
      <c r="DB44" s="49">
        <v>20.0</v>
      </c>
      <c r="DC44" s="49">
        <f>IFERROR(__xludf.DUMMYFUNCTION("""COMPUTED_VALUE"""),39.0)</f>
        <v>39</v>
      </c>
      <c r="DD44" s="49">
        <v>20.0</v>
      </c>
      <c r="DE44" s="49"/>
      <c r="DF44" s="49"/>
      <c r="DG44" s="49"/>
      <c r="DH44" s="49"/>
    </row>
    <row r="45" ht="13.5" customHeight="1">
      <c r="A45" s="118"/>
      <c r="B45" s="165"/>
      <c r="C45" s="165"/>
      <c r="D45" s="165"/>
      <c r="E45" s="165"/>
      <c r="F45" s="166"/>
      <c r="G45" s="167"/>
      <c r="H45" s="168"/>
      <c r="I45" s="167"/>
      <c r="J45" s="168"/>
      <c r="K45" s="167"/>
      <c r="L45" s="168"/>
      <c r="M45" s="167"/>
      <c r="N45" s="168"/>
      <c r="O45" s="167"/>
      <c r="P45" s="168"/>
      <c r="Q45" s="167"/>
      <c r="R45" s="168"/>
      <c r="S45" s="167"/>
      <c r="T45" s="168"/>
      <c r="U45" s="169"/>
      <c r="V45" s="168"/>
      <c r="W45" s="169"/>
      <c r="X45" s="168"/>
      <c r="Y45" s="167"/>
      <c r="Z45" s="168"/>
      <c r="AA45" s="167"/>
      <c r="AB45" s="166"/>
      <c r="AC45" s="165"/>
      <c r="AD45" s="168"/>
      <c r="AE45" s="170"/>
      <c r="AF45" s="171"/>
      <c r="AG45" s="113"/>
      <c r="AH45" s="113"/>
      <c r="AI45" s="113"/>
      <c r="AJ45" s="113"/>
      <c r="AK45" s="113"/>
      <c r="AL45" s="113"/>
      <c r="AM45" s="113"/>
      <c r="AN45" s="113"/>
      <c r="AO45" s="113"/>
      <c r="AP45" s="113"/>
      <c r="AQ45" s="113"/>
      <c r="AR45" s="113"/>
      <c r="AS45" s="113"/>
      <c r="AT45" s="113"/>
      <c r="AU45" s="113"/>
      <c r="AV45" s="113"/>
      <c r="AW45" s="113"/>
      <c r="AY45" s="227">
        <v>35.0</v>
      </c>
      <c r="AZ45" s="152"/>
      <c r="BA45" s="228">
        <v>35.0</v>
      </c>
      <c r="BB45" s="146"/>
      <c r="BC45" s="49">
        <v>35.0</v>
      </c>
      <c r="BD45" s="225">
        <v>34.0</v>
      </c>
      <c r="BE45" s="245">
        <v>35.0</v>
      </c>
      <c r="BF45" s="224">
        <v>34.0</v>
      </c>
      <c r="BG45" s="117">
        <v>35.0</v>
      </c>
      <c r="BH45" s="49">
        <v>35.0</v>
      </c>
      <c r="BI45" s="49"/>
      <c r="BJ45" s="49"/>
      <c r="BK45" s="49"/>
      <c r="BL45" s="49"/>
      <c r="BM45" s="178"/>
      <c r="BO45" s="175" t="str">
        <f>IF(BO44="","",BN44)</f>
        <v/>
      </c>
      <c r="BP45" s="175" t="s">
        <v>362</v>
      </c>
      <c r="BQ45" s="197">
        <f>IFERROR(__xludf.DUMMYFUNCTION("""COMPUTED_VALUE"""),39.0)</f>
        <v>39</v>
      </c>
      <c r="BT45" s="175" t="str">
        <f>IF(BT44="","",BS44)</f>
        <v/>
      </c>
      <c r="BU45" s="175" t="s">
        <v>362</v>
      </c>
      <c r="BV45" s="196">
        <f>IFERROR(__xludf.DUMMYFUNCTION("""COMPUTED_VALUE"""),40.0)</f>
        <v>40</v>
      </c>
      <c r="BW45" s="178"/>
      <c r="BY45" s="160" t="str">
        <f>IF(BY44="","",BX44)</f>
        <v> </v>
      </c>
      <c r="BZ45" s="160" t="str">
        <f t="shared" si="3"/>
        <v> </v>
      </c>
      <c r="CA45" s="200">
        <f>IFERROR(__xludf.DUMMYFUNCTION("""COMPUTED_VALUE"""),40.0)</f>
        <v>40</v>
      </c>
      <c r="CB45" s="74">
        <f t="shared" si="4"/>
        <v>40</v>
      </c>
      <c r="CC45" s="200"/>
      <c r="CD45" s="243"/>
      <c r="CG45" s="180" t="str">
        <f>IF(CG44="","",CF44)</f>
        <v> </v>
      </c>
      <c r="CH45" s="200" t="s">
        <v>361</v>
      </c>
      <c r="CI45" s="182">
        <f>IFERROR(__xludf.DUMMYFUNCTION("""COMPUTED_VALUE"""),40.0)</f>
        <v>40</v>
      </c>
      <c r="CJ45" s="49" t="s">
        <v>362</v>
      </c>
      <c r="CK45" s="235"/>
      <c r="CL45" s="180" t="str">
        <f>IF(CL44="","",CK44)</f>
        <v> </v>
      </c>
      <c r="CM45" s="49" t="s">
        <v>361</v>
      </c>
      <c r="CN45" s="49">
        <f>IFERROR(__xludf.DUMMYFUNCTION("""COMPUTED_VALUE"""),40.0)</f>
        <v>40</v>
      </c>
      <c r="CQ45" s="180" t="str">
        <f>IF(CQ44="","",CP44)</f>
        <v> </v>
      </c>
      <c r="CR45" s="49" t="s">
        <v>361</v>
      </c>
      <c r="CS45" s="234">
        <f>IFERROR(__xludf.DUMMYFUNCTION("""COMPUTED_VALUE"""),40.0)</f>
        <v>40</v>
      </c>
      <c r="CV45" s="180" t="str">
        <f>IF(CV44="","",CU44)</f>
        <v> </v>
      </c>
      <c r="CW45" s="49" t="s">
        <v>361</v>
      </c>
      <c r="CX45" s="49">
        <f>IFERROR(__xludf.DUMMYFUNCTION("""COMPUTED_VALUE"""),40.0)</f>
        <v>40</v>
      </c>
      <c r="DA45" s="180" t="str">
        <f>IF(DA44="","",CZ44)</f>
        <v> </v>
      </c>
      <c r="DB45" s="49" t="s">
        <v>361</v>
      </c>
      <c r="DC45" s="49">
        <f>IFERROR(__xludf.DUMMYFUNCTION("""COMPUTED_VALUE"""),40.0)</f>
        <v>40</v>
      </c>
      <c r="DD45" s="49" t="s">
        <v>362</v>
      </c>
      <c r="DE45" s="49"/>
      <c r="DF45" s="49"/>
      <c r="DG45" s="49"/>
      <c r="DH45" s="49"/>
    </row>
    <row r="46" ht="13.5" customHeight="1">
      <c r="A46" s="118"/>
      <c r="B46" s="187">
        <v>21.0</v>
      </c>
      <c r="C46" s="188" t="str">
        <f>(VLOOKUP($B46,'Пр.взв'!$D$6:$J$63,2,0))</f>
        <v>РАСТОРГУЕВ  Владислав </v>
      </c>
      <c r="D46" s="189" t="str">
        <f>(VLOOKUP($B46,'Пр.взв'!$D$6:$J$63,5,0))</f>
        <v>1р</v>
      </c>
      <c r="E46" s="190" t="str">
        <f>(VLOOKUP($B46,'Пр.взв'!$D$6:$M$63,8,0))</f>
        <v>Москва</v>
      </c>
      <c r="F46" s="130">
        <f>B48</f>
        <v>22</v>
      </c>
      <c r="G46" s="131"/>
      <c r="H46" s="132">
        <v>23.0</v>
      </c>
      <c r="I46" s="131"/>
      <c r="J46" s="133" t="str">
        <f>IF(H46="Х","Х",IF($AC46&lt;6," ","Х"))</f>
        <v> </v>
      </c>
      <c r="K46" s="134"/>
      <c r="L46" s="133" t="str">
        <f>IF(J46="Х","Х",IF(K46&lt;3," ",IF($AC46&lt;6," ","Х")))</f>
        <v> </v>
      </c>
      <c r="M46" s="134"/>
      <c r="N46" s="133" t="str">
        <f>IF(L46="Х","Х",IF(M46&lt;3," ",IF($AC46&lt;6," ","Х")))</f>
        <v> </v>
      </c>
      <c r="O46" s="134"/>
      <c r="P46" s="133" t="str">
        <f>IF(N46="Х","Х",IF(O46&lt;3," ",IF($AC46&lt;6," ","Х")))</f>
        <v> </v>
      </c>
      <c r="Q46" s="134"/>
      <c r="R46" s="133" t="str">
        <f>IF(P46="Х","Х",IF(Q46&lt;3," ",IF($AC46&lt;6," ","Х")))</f>
        <v> </v>
      </c>
      <c r="S46" s="134"/>
      <c r="T46" s="133" t="str">
        <f>IF(R46="Х","Х",IF(S46&lt;3," ",IF($AC46&lt;6," ","Х")))</f>
        <v> </v>
      </c>
      <c r="U46" s="135"/>
      <c r="V46" s="133" t="str">
        <f>IF(T46="Х","Х",IF(U46&lt;3," ",IF($AC46&lt;6," ","Х")))</f>
        <v> </v>
      </c>
      <c r="W46" s="135"/>
      <c r="X46" s="133" t="str">
        <f>IF(V46="А1",$AZ$7,IF(V46="Б2",$AZ$6,IF(V46="Б1",$BA$7,IF(V46="А2",$BA$6,IF(V46="Х","Х",IF(V46&lt;6," "," "))))))</f>
        <v> </v>
      </c>
      <c r="Y46" s="136"/>
      <c r="Z46" s="133" t="str">
        <f>IF(V46="Х","Х",IF(ISBLANK(Y46),"",IF(Y46&gt;2.5," ",IF(B46=BB$6,BB$7,BB$6))))</f>
        <v/>
      </c>
      <c r="AA46" s="136"/>
      <c r="AB46" s="240" t="str">
        <f>IF(H46="Х",F$5,IF(J46="Х",H$5,IF(L46="Х",J$5,IF(N46="Х",L$5,IF(P46="Х",N$5,IF(R46="Х",P$5,IF(T46="Х",R$5,IF(X46="Х",T$5,""))))))))</f>
        <v/>
      </c>
      <c r="AC46" s="138">
        <f>SUM(G46+I46+K46+M46+O46+Q46+S46+U46+Y46+AA46)</f>
        <v>0</v>
      </c>
      <c r="AD46" s="241" t="str">
        <f>AF46</f>
        <v>1-54</v>
      </c>
      <c r="AE46" s="140" t="str">
        <f>AD46</f>
        <v>1-54</v>
      </c>
      <c r="AF46" s="141" t="str">
        <f>COUNTIF(AG$6:AG$148,"&gt;"&amp;AG$6:AG$148)+1&amp;REPT("-"&amp;COUNTIF(AG$6:AG$148,"&gt;="&amp;AG$6:AG$148),COUNTIF(AG$6:AG$148,AG46)&gt;1)</f>
        <v>1-54</v>
      </c>
      <c r="AG46" s="142">
        <f>(AR46*100)+(AP46*10)-AC46</f>
        <v>1280</v>
      </c>
      <c r="AH46" s="143" t="str">
        <f>IF(OR(F46="Х",F46="св")," ",IF(AND(G46&gt;=0,G46&lt;3),"1"," "))</f>
        <v>1</v>
      </c>
      <c r="AI46" s="90" t="str">
        <f>IF(OR(H46="Х",H46="св")," ",IF(AND(I46&gt;=0,I46&lt;3),"1"," "))</f>
        <v>1</v>
      </c>
      <c r="AJ46" s="90" t="str">
        <f>IF(OR(J46="Х",J46="св")," ",IF(AND(K46&gt;=0,K46&lt;3),"1"," "))</f>
        <v>1</v>
      </c>
      <c r="AK46" s="90" t="str">
        <f>IF(OR(L46="Х",L46="св")," ",IF(AND(M46&gt;=0,M46&lt;3),"1"," "))</f>
        <v>1</v>
      </c>
      <c r="AL46" s="90" t="str">
        <f>IF(OR(N46="Х",N46="св")," ",IF(AND(O46&gt;=0,O46&lt;3),"1"," "))</f>
        <v>1</v>
      </c>
      <c r="AM46" s="90" t="str">
        <f>IF(OR(P46="Х",P46="св")," ",IF(AND(Q46&gt;=0,Q46&lt;3),"1"," "))</f>
        <v>1</v>
      </c>
      <c r="AN46" s="90" t="str">
        <f>IF(OR(R46="Х",R46="св")," ",IF(AND(S46&gt;=0,S46&lt;3),"1"," "))</f>
        <v>1</v>
      </c>
      <c r="AO46" s="90" t="str">
        <f>IF(OR(T46="Х",T46="св")," ",IF(AND(U46&gt;=0,U46&lt;3),"1"," "))</f>
        <v>1</v>
      </c>
      <c r="AP46" s="90">
        <f>COUNTIF(AH46:AO47,1)</f>
        <v>8</v>
      </c>
      <c r="AQ46" s="90">
        <f>AG46-AC46</f>
        <v>1280</v>
      </c>
      <c r="AR46" s="144">
        <f>IF(F46=0,0,IF(F46="Х",1,IF(H46="Х",2,IF(J46="Х",3,IF(L46="Х",4,IF(N46="Х",5,IF(P46="Х",6,IF(R46="Х",7,IF(T46="Х",8,IF(V46="Х",9,IF(Y46&gt;2.5,10,IF(AA46&gt;2.5,11,IF(AA46&gt;=0,12,IF(AA46=" ",0,))))))))))))))</f>
        <v>12</v>
      </c>
      <c r="AS46" s="90" t="str">
        <f>COUNTIF(AG$6:AG$134,"&gt;"&amp;AG$6:AG$134)+1&amp;REPT("-"&amp;COUNTIF(AG$6:AG$134,"&gt;="&amp;AG$6:AG$134),COUNTIF(AG$6:AG$134,AG46)&gt;1)</f>
        <v>1-54</v>
      </c>
      <c r="AT46" s="143" t="str">
        <f t="shared" ref="AT46:AW46" si="24">COUNTIF(AU$6:AU$134,"&gt;"&amp;AU$6:AU$134)+1&amp;REPT("-"&amp;COUNTIF(AU$6:AU$134,"&gt;="&amp;AU$6:AU$134),COUNTIF(AU$6:AU$134,AU46)&gt;1)</f>
        <v>1-64</v>
      </c>
      <c r="AU46" s="143" t="str">
        <f t="shared" si="24"/>
        <v>1-0</v>
      </c>
      <c r="AV46" s="143" t="str">
        <f t="shared" si="24"/>
        <v>1</v>
      </c>
      <c r="AW46" s="143" t="str">
        <f t="shared" si="24"/>
        <v>44</v>
      </c>
      <c r="AX46" s="145">
        <f>IF(X46="Х","Х",IF(Y46&lt;3,B46,"Х"))</f>
        <v>21</v>
      </c>
      <c r="AY46" s="222">
        <v>36.0</v>
      </c>
      <c r="AZ46" s="152"/>
      <c r="BA46" s="222">
        <v>36.0</v>
      </c>
      <c r="BB46" s="146"/>
      <c r="BC46" s="49">
        <v>36.0</v>
      </c>
      <c r="BD46" s="225">
        <v>35.0</v>
      </c>
      <c r="BE46" s="49">
        <v>36.0</v>
      </c>
      <c r="BF46" s="224">
        <v>36.0</v>
      </c>
      <c r="BG46" s="49">
        <v>36.0</v>
      </c>
      <c r="BH46" s="49">
        <v>36.0</v>
      </c>
      <c r="BI46" s="49"/>
      <c r="BJ46" s="49"/>
      <c r="BK46" s="49"/>
      <c r="BL46" s="49"/>
      <c r="BM46" s="195">
        <v>21.0</v>
      </c>
      <c r="BN46" s="196">
        <v>22.0</v>
      </c>
      <c r="BO46" s="153">
        <f>IF(BM46&lt;BN46,BM46,"")</f>
        <v>21</v>
      </c>
      <c r="BP46" s="196">
        <v>21.0</v>
      </c>
      <c r="BQ46" s="197">
        <f>IFERROR(__xludf.DUMMYFUNCTION("""COMPUTED_VALUE"""),40.0)</f>
        <v>40</v>
      </c>
      <c r="BR46" s="198">
        <v>21.0</v>
      </c>
      <c r="BS46" s="196">
        <v>23.0</v>
      </c>
      <c r="BT46" s="175">
        <f>IF(BR46&lt;BS46,BR46,"")</f>
        <v>21</v>
      </c>
      <c r="BU46" s="196">
        <v>21.0</v>
      </c>
      <c r="BV46" s="196">
        <f>IFERROR(__xludf.DUMMYFUNCTION("""COMPUTED_VALUE"""),39.0)</f>
        <v>39</v>
      </c>
      <c r="BW46" s="199">
        <v>21.0</v>
      </c>
      <c r="BX46" s="74" t="s">
        <v>361</v>
      </c>
      <c r="BY46" s="160">
        <f t="array" ref="BY46">IF(BW46&lt;BX46,BW46,"")</f>
        <v>21</v>
      </c>
      <c r="BZ46" s="160">
        <f t="shared" si="3"/>
        <v>21</v>
      </c>
      <c r="CA46" s="74">
        <f>IFERROR(__xludf.DUMMYFUNCTION("""COMPUTED_VALUE"""),41.0)</f>
        <v>41</v>
      </c>
      <c r="CB46" s="74">
        <f t="shared" si="4"/>
        <v>41</v>
      </c>
      <c r="CC46" s="200"/>
      <c r="CD46" s="243"/>
      <c r="CE46" s="200">
        <v>21.0</v>
      </c>
      <c r="CF46" s="25" t="s">
        <v>361</v>
      </c>
      <c r="CG46" s="153">
        <f t="array" ref="CG46">IF(CE46&lt;CF46,CE46,"")</f>
        <v>21</v>
      </c>
      <c r="CH46" s="74">
        <v>21.0</v>
      </c>
      <c r="CI46" s="182">
        <f>IFERROR(__xludf.DUMMYFUNCTION("""COMPUTED_VALUE"""),41.0)</f>
        <v>41</v>
      </c>
      <c r="CJ46" s="93">
        <v>21.0</v>
      </c>
      <c r="CK46" s="233" t="s">
        <v>361</v>
      </c>
      <c r="CL46" s="153">
        <f t="array" ref="CL46">IF(CJ46&lt;CK46,CJ46,"")</f>
        <v>21</v>
      </c>
      <c r="CM46" s="49">
        <v>21.0</v>
      </c>
      <c r="CN46" s="49">
        <f>IFERROR(__xludf.DUMMYFUNCTION("""COMPUTED_VALUE"""),41.0)</f>
        <v>41</v>
      </c>
      <c r="CO46" s="74">
        <v>21.0</v>
      </c>
      <c r="CP46" s="200" t="s">
        <v>361</v>
      </c>
      <c r="CQ46" s="153">
        <f t="array" ref="CQ46">IF(CO46&lt;CP46,CO46,"")</f>
        <v>21</v>
      </c>
      <c r="CR46" s="93">
        <v>21.0</v>
      </c>
      <c r="CS46" s="234">
        <f>IFERROR(__xludf.DUMMYFUNCTION("""COMPUTED_VALUE"""),41.0)</f>
        <v>41</v>
      </c>
      <c r="CT46" s="200">
        <v>21.0</v>
      </c>
      <c r="CU46" s="74" t="s">
        <v>361</v>
      </c>
      <c r="CV46" s="153">
        <f t="array" ref="CV46">IF(CT46&lt;CU46,CT46,"")</f>
        <v>21</v>
      </c>
      <c r="CW46" s="49">
        <v>21.0</v>
      </c>
      <c r="CX46" s="49">
        <f>IFERROR(__xludf.DUMMYFUNCTION("""COMPUTED_VALUE"""),41.0)</f>
        <v>41</v>
      </c>
      <c r="CY46" s="200">
        <v>21.0</v>
      </c>
      <c r="CZ46" s="74" t="s">
        <v>361</v>
      </c>
      <c r="DA46" s="153">
        <f t="array" ref="DA46">IF(CY46&lt;CZ46,CY46,"")</f>
        <v>21</v>
      </c>
      <c r="DB46" s="49">
        <v>21.0</v>
      </c>
      <c r="DC46" s="49">
        <f>IFERROR(__xludf.DUMMYFUNCTION("""COMPUTED_VALUE"""),41.0)</f>
        <v>41</v>
      </c>
      <c r="DD46" s="49">
        <v>21.0</v>
      </c>
      <c r="DE46" s="49"/>
      <c r="DF46" s="49"/>
      <c r="DG46" s="49"/>
      <c r="DH46" s="49"/>
    </row>
    <row r="47" ht="13.5" customHeight="1">
      <c r="A47" s="118"/>
      <c r="B47" s="165"/>
      <c r="C47" s="165"/>
      <c r="D47" s="165"/>
      <c r="E47" s="165"/>
      <c r="F47" s="166"/>
      <c r="G47" s="167"/>
      <c r="H47" s="168"/>
      <c r="I47" s="167"/>
      <c r="J47" s="168"/>
      <c r="K47" s="167"/>
      <c r="L47" s="168"/>
      <c r="M47" s="167"/>
      <c r="N47" s="168"/>
      <c r="O47" s="167"/>
      <c r="P47" s="168"/>
      <c r="Q47" s="167"/>
      <c r="R47" s="168"/>
      <c r="S47" s="167"/>
      <c r="T47" s="168"/>
      <c r="U47" s="169"/>
      <c r="V47" s="168"/>
      <c r="W47" s="169"/>
      <c r="X47" s="168"/>
      <c r="Y47" s="167"/>
      <c r="Z47" s="168"/>
      <c r="AA47" s="167"/>
      <c r="AB47" s="166"/>
      <c r="AC47" s="165"/>
      <c r="AD47" s="168"/>
      <c r="AE47" s="170"/>
      <c r="AF47" s="171"/>
      <c r="AG47" s="113"/>
      <c r="AH47" s="113"/>
      <c r="AI47" s="113"/>
      <c r="AJ47" s="113"/>
      <c r="AK47" s="113"/>
      <c r="AL47" s="113"/>
      <c r="AM47" s="113"/>
      <c r="AN47" s="113"/>
      <c r="AO47" s="113"/>
      <c r="AP47" s="113"/>
      <c r="AQ47" s="113"/>
      <c r="AR47" s="113"/>
      <c r="AS47" s="113"/>
      <c r="AT47" s="113"/>
      <c r="AU47" s="113"/>
      <c r="AV47" s="113"/>
      <c r="AW47" s="113"/>
      <c r="AY47" s="227">
        <v>37.0</v>
      </c>
      <c r="AZ47" s="152"/>
      <c r="BA47" s="228">
        <v>37.0</v>
      </c>
      <c r="BB47" s="146"/>
      <c r="BC47" s="49">
        <v>37.0</v>
      </c>
      <c r="BD47" s="225">
        <v>36.0</v>
      </c>
      <c r="BE47" s="49">
        <v>37.0</v>
      </c>
      <c r="BF47" s="224">
        <v>35.0</v>
      </c>
      <c r="BG47" s="49">
        <v>37.0</v>
      </c>
      <c r="BH47" s="49">
        <v>37.0</v>
      </c>
      <c r="BI47" s="49"/>
      <c r="BJ47" s="49"/>
      <c r="BK47" s="49"/>
      <c r="BL47" s="49"/>
      <c r="BM47" s="178"/>
      <c r="BO47" s="175">
        <f>IF(BO46="","",BN46)</f>
        <v>22</v>
      </c>
      <c r="BP47" s="175">
        <v>22.0</v>
      </c>
      <c r="BQ47" s="197">
        <f>IFERROR(__xludf.DUMMYFUNCTION("""COMPUTED_VALUE"""),41.0)</f>
        <v>41</v>
      </c>
      <c r="BT47" s="175">
        <f>IF(BT46="","",BS46)</f>
        <v>23</v>
      </c>
      <c r="BU47" s="175">
        <v>23.0</v>
      </c>
      <c r="BV47" s="196">
        <f>IFERROR(__xludf.DUMMYFUNCTION("""COMPUTED_VALUE"""),41.0)</f>
        <v>41</v>
      </c>
      <c r="BW47" s="178"/>
      <c r="BY47" s="160" t="str">
        <f>IF(BY46="","",BX46)</f>
        <v> </v>
      </c>
      <c r="BZ47" s="160" t="str">
        <f t="shared" si="3"/>
        <v> </v>
      </c>
      <c r="CA47" s="200">
        <f>IFERROR(__xludf.DUMMYFUNCTION("""COMPUTED_VALUE"""),42.0)</f>
        <v>42</v>
      </c>
      <c r="CB47" s="74">
        <f t="shared" si="4"/>
        <v>42</v>
      </c>
      <c r="CC47" s="200"/>
      <c r="CD47" s="243"/>
      <c r="CG47" s="180" t="str">
        <f>IF(CG46="","",CF46)</f>
        <v> </v>
      </c>
      <c r="CH47" s="200" t="s">
        <v>361</v>
      </c>
      <c r="CI47" s="182">
        <f>IFERROR(__xludf.DUMMYFUNCTION("""COMPUTED_VALUE"""),42.0)</f>
        <v>42</v>
      </c>
      <c r="CJ47" s="49" t="s">
        <v>362</v>
      </c>
      <c r="CK47" s="235"/>
      <c r="CL47" s="180" t="str">
        <f>IF(CL46="","",CK46)</f>
        <v> </v>
      </c>
      <c r="CM47" s="49" t="s">
        <v>361</v>
      </c>
      <c r="CN47" s="49">
        <f>IFERROR(__xludf.DUMMYFUNCTION("""COMPUTED_VALUE"""),42.0)</f>
        <v>42</v>
      </c>
      <c r="CQ47" s="180" t="str">
        <f>IF(CQ46="","",CP46)</f>
        <v> </v>
      </c>
      <c r="CR47" s="49" t="s">
        <v>361</v>
      </c>
      <c r="CS47" s="234">
        <f>IFERROR(__xludf.DUMMYFUNCTION("""COMPUTED_VALUE"""),42.0)</f>
        <v>42</v>
      </c>
      <c r="CV47" s="180" t="str">
        <f>IF(CV46="","",CU46)</f>
        <v> </v>
      </c>
      <c r="CW47" s="49" t="s">
        <v>361</v>
      </c>
      <c r="CX47" s="49">
        <f>IFERROR(__xludf.DUMMYFUNCTION("""COMPUTED_VALUE"""),42.0)</f>
        <v>42</v>
      </c>
      <c r="DA47" s="180" t="str">
        <f>IF(DA46="","",CZ46)</f>
        <v> </v>
      </c>
      <c r="DB47" s="49" t="s">
        <v>361</v>
      </c>
      <c r="DC47" s="49">
        <f>IFERROR(__xludf.DUMMYFUNCTION("""COMPUTED_VALUE"""),42.0)</f>
        <v>42</v>
      </c>
      <c r="DD47" s="49" t="s">
        <v>362</v>
      </c>
      <c r="DE47" s="49"/>
      <c r="DF47" s="49"/>
      <c r="DG47" s="49"/>
      <c r="DH47" s="49"/>
    </row>
    <row r="48" ht="13.5" customHeight="1">
      <c r="A48" s="118"/>
      <c r="B48" s="187">
        <v>22.0</v>
      </c>
      <c r="C48" s="188" t="str">
        <f>(VLOOKUP($B48,'Пр.взв'!$D$6:$J$63,2,0))</f>
        <v>НАПИДЖЕВ Рахман</v>
      </c>
      <c r="D48" s="189" t="str">
        <f>(VLOOKUP($B48,'Пр.взв'!$D$6:$J$63,5,0))</f>
        <v>1р</v>
      </c>
      <c r="E48" s="190" t="str">
        <f>(VLOOKUP($B48,'Пр.взв'!$D$6:$M$63,8,0))</f>
        <v>КЧР</v>
      </c>
      <c r="F48" s="130">
        <f>B46</f>
        <v>21</v>
      </c>
      <c r="G48" s="131"/>
      <c r="H48" s="132">
        <v>24.0</v>
      </c>
      <c r="I48" s="131"/>
      <c r="J48" s="133" t="str">
        <f>IF(H48="Х","Х",IF($AC48&lt;6," ","Х"))</f>
        <v> </v>
      </c>
      <c r="K48" s="134"/>
      <c r="L48" s="133" t="str">
        <f>IF(J48="Х","Х",IF(K48&lt;3," ",IF($AC48&lt;6," ","Х")))</f>
        <v> </v>
      </c>
      <c r="M48" s="134"/>
      <c r="N48" s="133" t="str">
        <f>IF(L48="Х","Х",IF(M48&lt;3," ",IF($AC48&lt;6," ","Х")))</f>
        <v> </v>
      </c>
      <c r="O48" s="134"/>
      <c r="P48" s="133" t="str">
        <f>IF(N48="Х","Х",IF(O48&lt;3," ",IF($AC48&lt;6," ","Х")))</f>
        <v> </v>
      </c>
      <c r="Q48" s="134"/>
      <c r="R48" s="133" t="str">
        <f>IF(P48="Х","Х",IF(Q48&lt;3," ",IF($AC48&lt;6," ","Х")))</f>
        <v> </v>
      </c>
      <c r="S48" s="134"/>
      <c r="T48" s="133" t="str">
        <f>IF(R48="Х","Х",IF(S48&lt;3," ",IF($AC48&lt;6," ","Х")))</f>
        <v> </v>
      </c>
      <c r="U48" s="135"/>
      <c r="V48" s="133" t="str">
        <f>IF(T48="Х","Х",IF(U48&lt;3," ",IF($AC48&lt;6," ","Х")))</f>
        <v> </v>
      </c>
      <c r="W48" s="135"/>
      <c r="X48" s="133" t="str">
        <f>IF(V48="А1",$AZ$7,IF(V48="Б2",$AZ$6,IF(V48="Б1",$BA$7,IF(V48="А2",$BA$6,IF(V48="Х","Х",IF(V48&lt;6," "," "))))))</f>
        <v> </v>
      </c>
      <c r="Y48" s="136"/>
      <c r="Z48" s="133" t="str">
        <f>IF(V48="Х","Х",IF(ISBLANK(Y48),"",IF(Y48&gt;2.5," ",IF(B48=BB$6,BB$7,BB$6))))</f>
        <v/>
      </c>
      <c r="AA48" s="136"/>
      <c r="AB48" s="240" t="str">
        <f>IF(H48="Х",F$5,IF(J48="Х",H$5,IF(L48="Х",J$5,IF(N48="Х",L$5,IF(P48="Х",N$5,IF(R48="Х",P$5,IF(T48="Х",R$5,IF(X48="Х",T$5,""))))))))</f>
        <v/>
      </c>
      <c r="AC48" s="138">
        <f>SUM(G48+I48+K48+M48+O48+Q48+S48+U48+Y48+AA48)</f>
        <v>0</v>
      </c>
      <c r="AD48" s="241" t="str">
        <f>AF48</f>
        <v>1-54</v>
      </c>
      <c r="AE48" s="140" t="str">
        <f>AD48</f>
        <v>1-54</v>
      </c>
      <c r="AF48" s="141" t="str">
        <f>COUNTIF(AG$6:AG$148,"&gt;"&amp;AG$6:AG$148)+1&amp;REPT("-"&amp;COUNTIF(AG$6:AG$148,"&gt;="&amp;AG$6:AG$148),COUNTIF(AG$6:AG$148,AG48)&gt;1)</f>
        <v>1-54</v>
      </c>
      <c r="AG48" s="142">
        <f>(AR48*100)+(AP48*10)-AC48</f>
        <v>1280</v>
      </c>
      <c r="AH48" s="143" t="str">
        <f>IF(OR(F48="Х",F48="св")," ",IF(AND(G48&gt;=0,G48&lt;3),"1"," "))</f>
        <v>1</v>
      </c>
      <c r="AI48" s="90" t="str">
        <f>IF(OR(H48="Х",H48="св")," ",IF(AND(I48&gt;=0,I48&lt;3),"1"," "))</f>
        <v>1</v>
      </c>
      <c r="AJ48" s="90" t="str">
        <f>IF(OR(J48="Х",J48="св")," ",IF(AND(K48&gt;=0,K48&lt;3),"1"," "))</f>
        <v>1</v>
      </c>
      <c r="AK48" s="90" t="str">
        <f>IF(OR(L48="Х",L48="св")," ",IF(AND(M48&gt;=0,M48&lt;3),"1"," "))</f>
        <v>1</v>
      </c>
      <c r="AL48" s="90" t="str">
        <f>IF(OR(N48="Х",N48="св")," ",IF(AND(O48&gt;=0,O48&lt;3),"1"," "))</f>
        <v>1</v>
      </c>
      <c r="AM48" s="90" t="str">
        <f>IF(OR(P48="Х",P48="св")," ",IF(AND(Q48&gt;=0,Q48&lt;3),"1"," "))</f>
        <v>1</v>
      </c>
      <c r="AN48" s="90" t="str">
        <f>IF(OR(R48="Х",R48="св")," ",IF(AND(S48&gt;=0,S48&lt;3),"1"," "))</f>
        <v>1</v>
      </c>
      <c r="AO48" s="90" t="str">
        <f>IF(OR(T48="Х",T48="св")," ",IF(AND(U48&gt;=0,U48&lt;3),"1"," "))</f>
        <v>1</v>
      </c>
      <c r="AP48" s="90">
        <f>COUNTIF(AH48:AO49,1)</f>
        <v>8</v>
      </c>
      <c r="AQ48" s="90">
        <f>AG48-AC48</f>
        <v>1280</v>
      </c>
      <c r="AR48" s="144">
        <f>IF(F48=0,0,IF(F48="Х",1,IF(H48="Х",2,IF(J48="Х",3,IF(L48="Х",4,IF(N48="Х",5,IF(P48="Х",6,IF(R48="Х",7,IF(T48="Х",8,IF(V48="Х",9,IF(Y48&gt;2.5,10,IF(AA48&gt;2.5,11,IF(AA48&gt;=0,12,IF(AA48=" ",0,))))))))))))))</f>
        <v>12</v>
      </c>
      <c r="AS48" s="90" t="str">
        <f>COUNTIF(AG$6:AG$134,"&gt;"&amp;AG$6:AG$134)+1&amp;REPT("-"&amp;COUNTIF(AG$6:AG$134,"&gt;="&amp;AG$6:AG$134),COUNTIF(AG$6:AG$134,AG48)&gt;1)</f>
        <v>1-54</v>
      </c>
      <c r="AT48" s="143" t="str">
        <f t="shared" ref="AT48:AW48" si="25">COUNTIF(AU$6:AU$134,"&gt;"&amp;AU$6:AU$134)+1&amp;REPT("-"&amp;COUNTIF(AU$6:AU$134,"&gt;="&amp;AU$6:AU$134),COUNTIF(AU$6:AU$134,AU48)&gt;1)</f>
        <v>1-64</v>
      </c>
      <c r="AU48" s="143" t="str">
        <f t="shared" si="25"/>
        <v>1-0</v>
      </c>
      <c r="AV48" s="143" t="str">
        <f t="shared" si="25"/>
        <v>1</v>
      </c>
      <c r="AW48" s="143" t="str">
        <f t="shared" si="25"/>
        <v>43</v>
      </c>
      <c r="AX48" s="145">
        <f>IF(X48="Х","Х",IF(Y48&lt;3,B48,"Х"))</f>
        <v>22</v>
      </c>
      <c r="AY48" s="222">
        <v>38.0</v>
      </c>
      <c r="AZ48" s="152"/>
      <c r="BA48" s="222">
        <v>38.0</v>
      </c>
      <c r="BD48" s="225">
        <v>37.0</v>
      </c>
      <c r="BE48" s="49">
        <v>38.0</v>
      </c>
      <c r="BF48" s="224">
        <v>37.0</v>
      </c>
      <c r="BG48" s="49">
        <v>38.0</v>
      </c>
      <c r="BH48" s="49">
        <v>38.0</v>
      </c>
      <c r="BI48" s="49"/>
      <c r="BJ48" s="49"/>
      <c r="BK48" s="49"/>
      <c r="BL48" s="49"/>
      <c r="BM48" s="195">
        <v>22.0</v>
      </c>
      <c r="BN48" s="196">
        <v>21.0</v>
      </c>
      <c r="BO48" s="153" t="str">
        <f>IF(BM48&lt;BN48,BM48,"")</f>
        <v/>
      </c>
      <c r="BP48" s="196" t="s">
        <v>362</v>
      </c>
      <c r="BQ48" s="197">
        <f>IFERROR(__xludf.DUMMYFUNCTION("""COMPUTED_VALUE"""),42.0)</f>
        <v>42</v>
      </c>
      <c r="BR48" s="198">
        <v>22.0</v>
      </c>
      <c r="BS48" s="196">
        <v>24.0</v>
      </c>
      <c r="BT48" s="175">
        <f>IF(BR48&lt;BS48,BR48,"")</f>
        <v>22</v>
      </c>
      <c r="BU48" s="196">
        <v>22.0</v>
      </c>
      <c r="BV48" s="196">
        <f>IFERROR(__xludf.DUMMYFUNCTION("""COMPUTED_VALUE"""),42.0)</f>
        <v>42</v>
      </c>
      <c r="BW48" s="199">
        <v>22.0</v>
      </c>
      <c r="BX48" s="74" t="s">
        <v>361</v>
      </c>
      <c r="BY48" s="160">
        <f t="array" ref="BY48">IF(BW48&lt;BX48,BW48,"")</f>
        <v>22</v>
      </c>
      <c r="BZ48" s="160">
        <f t="shared" si="3"/>
        <v>22</v>
      </c>
      <c r="CA48" s="74">
        <f>IFERROR(__xludf.DUMMYFUNCTION("""COMPUTED_VALUE"""),43.0)</f>
        <v>43</v>
      </c>
      <c r="CB48" s="74">
        <f t="shared" si="4"/>
        <v>43</v>
      </c>
      <c r="CC48" s="200"/>
      <c r="CD48" s="243"/>
      <c r="CE48" s="200">
        <v>22.0</v>
      </c>
      <c r="CF48" s="25" t="s">
        <v>361</v>
      </c>
      <c r="CG48" s="153">
        <f t="array" ref="CG48">IF(CE48&lt;CF48,CE48,"")</f>
        <v>22</v>
      </c>
      <c r="CH48" s="74">
        <v>22.0</v>
      </c>
      <c r="CI48" s="182">
        <f>IFERROR(__xludf.DUMMYFUNCTION("""COMPUTED_VALUE"""),43.0)</f>
        <v>43</v>
      </c>
      <c r="CJ48" s="93">
        <v>22.0</v>
      </c>
      <c r="CK48" s="233" t="s">
        <v>361</v>
      </c>
      <c r="CL48" s="153">
        <f t="array" ref="CL48">IF(CJ48&lt;CK48,CJ48,"")</f>
        <v>22</v>
      </c>
      <c r="CM48" s="49">
        <v>22.0</v>
      </c>
      <c r="CN48" s="49">
        <f>IFERROR(__xludf.DUMMYFUNCTION("""COMPUTED_VALUE"""),43.0)</f>
        <v>43</v>
      </c>
      <c r="CO48" s="74">
        <v>22.0</v>
      </c>
      <c r="CP48" s="200" t="s">
        <v>361</v>
      </c>
      <c r="CQ48" s="153">
        <f t="array" ref="CQ48">IF(CO48&lt;CP48,CO48,"")</f>
        <v>22</v>
      </c>
      <c r="CR48" s="93">
        <v>22.0</v>
      </c>
      <c r="CS48" s="234">
        <f>IFERROR(__xludf.DUMMYFUNCTION("""COMPUTED_VALUE"""),43.0)</f>
        <v>43</v>
      </c>
      <c r="CT48" s="200">
        <v>22.0</v>
      </c>
      <c r="CU48" s="74" t="s">
        <v>361</v>
      </c>
      <c r="CV48" s="153">
        <f t="array" ref="CV48">IF(CT48&lt;CU48,CT48,"")</f>
        <v>22</v>
      </c>
      <c r="CW48" s="49">
        <v>22.0</v>
      </c>
      <c r="CX48" s="49">
        <f>IFERROR(__xludf.DUMMYFUNCTION("""COMPUTED_VALUE"""),43.0)</f>
        <v>43</v>
      </c>
      <c r="CY48" s="200">
        <v>22.0</v>
      </c>
      <c r="CZ48" s="74" t="s">
        <v>361</v>
      </c>
      <c r="DA48" s="153">
        <f t="array" ref="DA48">IF(CY48&lt;CZ48,CY48,"")</f>
        <v>22</v>
      </c>
      <c r="DB48" s="49">
        <v>22.0</v>
      </c>
      <c r="DC48" s="49">
        <f>IFERROR(__xludf.DUMMYFUNCTION("""COMPUTED_VALUE"""),43.0)</f>
        <v>43</v>
      </c>
      <c r="DD48" s="49">
        <v>22.0</v>
      </c>
      <c r="DE48" s="49"/>
      <c r="DF48" s="49"/>
      <c r="DG48" s="49"/>
      <c r="DH48" s="49"/>
    </row>
    <row r="49" ht="13.5" customHeight="1">
      <c r="A49" s="118"/>
      <c r="B49" s="165"/>
      <c r="C49" s="165"/>
      <c r="D49" s="165"/>
      <c r="E49" s="165"/>
      <c r="F49" s="166"/>
      <c r="G49" s="167"/>
      <c r="H49" s="168"/>
      <c r="I49" s="167"/>
      <c r="J49" s="168"/>
      <c r="K49" s="167"/>
      <c r="L49" s="168"/>
      <c r="M49" s="167"/>
      <c r="N49" s="168"/>
      <c r="O49" s="167"/>
      <c r="P49" s="168"/>
      <c r="Q49" s="167"/>
      <c r="R49" s="168"/>
      <c r="S49" s="167"/>
      <c r="T49" s="168"/>
      <c r="U49" s="169"/>
      <c r="V49" s="168"/>
      <c r="W49" s="169"/>
      <c r="X49" s="168"/>
      <c r="Y49" s="167"/>
      <c r="Z49" s="168"/>
      <c r="AA49" s="167"/>
      <c r="AB49" s="166"/>
      <c r="AC49" s="165"/>
      <c r="AD49" s="168"/>
      <c r="AE49" s="170"/>
      <c r="AF49" s="171"/>
      <c r="AG49" s="113"/>
      <c r="AH49" s="113"/>
      <c r="AI49" s="113"/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T49" s="113"/>
      <c r="AU49" s="113"/>
      <c r="AV49" s="113"/>
      <c r="AW49" s="113"/>
      <c r="AY49" s="146">
        <v>39.0</v>
      </c>
      <c r="AZ49" s="146"/>
      <c r="BA49" s="146">
        <v>39.0</v>
      </c>
      <c r="BB49" s="146"/>
      <c r="BC49" s="49">
        <v>39.0</v>
      </c>
      <c r="BD49" s="225">
        <v>38.0</v>
      </c>
      <c r="BE49" s="49">
        <v>39.0</v>
      </c>
      <c r="BF49" s="224">
        <v>38.0</v>
      </c>
      <c r="BG49" s="49">
        <v>39.0</v>
      </c>
      <c r="BH49" s="49">
        <v>39.0</v>
      </c>
      <c r="BI49" s="49"/>
      <c r="BJ49" s="49"/>
      <c r="BK49" s="49"/>
      <c r="BL49" s="49"/>
      <c r="BM49" s="178"/>
      <c r="BO49" s="175" t="str">
        <f>IF(BO48="","",BN48)</f>
        <v/>
      </c>
      <c r="BP49" s="175" t="s">
        <v>362</v>
      </c>
      <c r="BQ49" s="197">
        <f>IFERROR(__xludf.DUMMYFUNCTION("""COMPUTED_VALUE"""),43.0)</f>
        <v>43</v>
      </c>
      <c r="BT49" s="175">
        <f>IF(BT48="","",BS48)</f>
        <v>24</v>
      </c>
      <c r="BU49" s="175">
        <v>24.0</v>
      </c>
      <c r="BV49" s="196">
        <f>IFERROR(__xludf.DUMMYFUNCTION("""COMPUTED_VALUE"""),44.0)</f>
        <v>44</v>
      </c>
      <c r="BW49" s="178"/>
      <c r="BY49" s="160" t="str">
        <f>IF(BY48="","",BX48)</f>
        <v> </v>
      </c>
      <c r="BZ49" s="160" t="str">
        <f t="shared" si="3"/>
        <v> </v>
      </c>
      <c r="CA49" s="200">
        <f>IFERROR(__xludf.DUMMYFUNCTION("""COMPUTED_VALUE"""),44.0)</f>
        <v>44</v>
      </c>
      <c r="CB49" s="74">
        <f t="shared" si="4"/>
        <v>44</v>
      </c>
      <c r="CC49" s="200"/>
      <c r="CD49" s="243"/>
      <c r="CG49" s="180" t="str">
        <f>IF(CG48="","",CF48)</f>
        <v> </v>
      </c>
      <c r="CH49" s="200" t="s">
        <v>361</v>
      </c>
      <c r="CI49" s="182">
        <f>IFERROR(__xludf.DUMMYFUNCTION("""COMPUTED_VALUE"""),44.0)</f>
        <v>44</v>
      </c>
      <c r="CJ49" s="49" t="s">
        <v>362</v>
      </c>
      <c r="CK49" s="235"/>
      <c r="CL49" s="180" t="str">
        <f>IF(CL48="","",CK48)</f>
        <v> </v>
      </c>
      <c r="CM49" s="49" t="s">
        <v>361</v>
      </c>
      <c r="CN49" s="49">
        <f>IFERROR(__xludf.DUMMYFUNCTION("""COMPUTED_VALUE"""),44.0)</f>
        <v>44</v>
      </c>
      <c r="CQ49" s="180" t="str">
        <f>IF(CQ48="","",CP48)</f>
        <v> </v>
      </c>
      <c r="CR49" s="49" t="s">
        <v>361</v>
      </c>
      <c r="CS49" s="234">
        <f>IFERROR(__xludf.DUMMYFUNCTION("""COMPUTED_VALUE"""),44.0)</f>
        <v>44</v>
      </c>
      <c r="CV49" s="180" t="str">
        <f>IF(CV48="","",CU48)</f>
        <v> </v>
      </c>
      <c r="CW49" s="49" t="s">
        <v>361</v>
      </c>
      <c r="CX49" s="49">
        <f>IFERROR(__xludf.DUMMYFUNCTION("""COMPUTED_VALUE"""),44.0)</f>
        <v>44</v>
      </c>
      <c r="DA49" s="180" t="str">
        <f>IF(DA48="","",CZ48)</f>
        <v> </v>
      </c>
      <c r="DB49" s="49" t="s">
        <v>361</v>
      </c>
      <c r="DC49" s="49">
        <f>IFERROR(__xludf.DUMMYFUNCTION("""COMPUTED_VALUE"""),44.0)</f>
        <v>44</v>
      </c>
      <c r="DD49" s="49" t="s">
        <v>362</v>
      </c>
      <c r="DE49" s="49"/>
      <c r="DF49" s="49"/>
      <c r="DG49" s="49"/>
      <c r="DH49" s="49"/>
    </row>
    <row r="50" ht="13.5" customHeight="1">
      <c r="A50" s="118"/>
      <c r="B50" s="187">
        <v>23.0</v>
      </c>
      <c r="C50" s="188" t="str">
        <f>(VLOOKUP($B50,'Пр.взв'!$D$6:$J$63,2,0))</f>
        <v>АБАЕВ Оразеддин</v>
      </c>
      <c r="D50" s="189" t="str">
        <f>(VLOOKUP($B50,'Пр.взв'!$D$6:$J$63,5,0))</f>
        <v>КМС</v>
      </c>
      <c r="E50" s="190" t="str">
        <f>(VLOOKUP($B50,'Пр.взв'!$D$6:$M$63,8,0))</f>
        <v>Р.Татарстан</v>
      </c>
      <c r="F50" s="130">
        <f>B52</f>
        <v>24</v>
      </c>
      <c r="G50" s="131"/>
      <c r="H50" s="132">
        <v>21.0</v>
      </c>
      <c r="I50" s="131"/>
      <c r="J50" s="133" t="str">
        <f>IF(H50="Х","Х",IF($AC50&lt;6," ","Х"))</f>
        <v> </v>
      </c>
      <c r="K50" s="134"/>
      <c r="L50" s="133" t="str">
        <f>IF(J50="Х","Х",IF(K50&lt;3," ",IF($AC50&lt;6," ","Х")))</f>
        <v> </v>
      </c>
      <c r="M50" s="134"/>
      <c r="N50" s="133" t="str">
        <f>IF(L50="Х","Х",IF(M50&lt;3," ",IF($AC50&lt;6," ","Х")))</f>
        <v> </v>
      </c>
      <c r="O50" s="134"/>
      <c r="P50" s="133" t="str">
        <f>IF(N50="Х","Х",IF(O50&lt;3," ",IF($AC50&lt;6," ","Х")))</f>
        <v> </v>
      </c>
      <c r="Q50" s="134"/>
      <c r="R50" s="133" t="str">
        <f>IF(P50="Х","Х",IF(Q50&lt;3," ",IF($AC50&lt;6," ","Х")))</f>
        <v> </v>
      </c>
      <c r="S50" s="134"/>
      <c r="T50" s="133" t="str">
        <f>IF(R50="Х","Х",IF(S50&lt;3," ",IF($AC50&lt;6," ","Х")))</f>
        <v> </v>
      </c>
      <c r="U50" s="135"/>
      <c r="V50" s="133" t="str">
        <f>IF(T50="Х","Х",IF(U50&lt;3," ",IF($AC50&lt;6," ","Х")))</f>
        <v> </v>
      </c>
      <c r="W50" s="135"/>
      <c r="X50" s="133" t="str">
        <f>IF(V50="А1",$AZ$7,IF(V50="Б2",$AZ$6,IF(V50="Б1",$BA$7,IF(V50="А2",$BA$6,IF(V50="Х","Х",IF(V50&lt;6," "," "))))))</f>
        <v> </v>
      </c>
      <c r="Y50" s="136"/>
      <c r="Z50" s="133" t="str">
        <f>IF(V50="Х","Х",IF(ISBLANK(Y50),"",IF(Y50&gt;2.5," ",IF(B50=BB$6,BB$7,BB$6))))</f>
        <v/>
      </c>
      <c r="AA50" s="136"/>
      <c r="AB50" s="240" t="str">
        <f>IF(H50="Х",F$5,IF(J50="Х",H$5,IF(L50="Х",J$5,IF(N50="Х",L$5,IF(P50="Х",N$5,IF(R50="Х",P$5,IF(T50="Х",R$5,IF(X50="Х",T$5,""))))))))</f>
        <v/>
      </c>
      <c r="AC50" s="138">
        <f>SUM(G50+I50+K50+M50+O50+Q50+S50+U50+Y50+AA50)</f>
        <v>0</v>
      </c>
      <c r="AD50" s="241" t="str">
        <f>AF50</f>
        <v>1-54</v>
      </c>
      <c r="AE50" s="140" t="str">
        <f>AD50</f>
        <v>1-54</v>
      </c>
      <c r="AF50" s="141" t="str">
        <f>COUNTIF(AG$6:AG$148,"&gt;"&amp;AG$6:AG$148)+1&amp;REPT("-"&amp;COUNTIF(AG$6:AG$148,"&gt;="&amp;AG$6:AG$148),COUNTIF(AG$6:AG$148,AG50)&gt;1)</f>
        <v>1-54</v>
      </c>
      <c r="AG50" s="142">
        <f>(AR50*100)+(AP50*10)-AC50</f>
        <v>1280</v>
      </c>
      <c r="AH50" s="143" t="str">
        <f>IF(OR(F50="Х",F50="св")," ",IF(AND(G50&gt;=0,G50&lt;3),"1"," "))</f>
        <v>1</v>
      </c>
      <c r="AI50" s="90" t="str">
        <f>IF(OR(H50="Х",H50="св")," ",IF(AND(I50&gt;=0,I50&lt;3),"1"," "))</f>
        <v>1</v>
      </c>
      <c r="AJ50" s="90" t="str">
        <f>IF(OR(J50="Х",J50="св")," ",IF(AND(K50&gt;=0,K50&lt;3),"1"," "))</f>
        <v>1</v>
      </c>
      <c r="AK50" s="90" t="str">
        <f>IF(OR(L50="Х",L50="св")," ",IF(AND(M50&gt;=0,M50&lt;3),"1"," "))</f>
        <v>1</v>
      </c>
      <c r="AL50" s="90" t="str">
        <f>IF(OR(N50="Х",N50="св")," ",IF(AND(O50&gt;=0,O50&lt;3),"1"," "))</f>
        <v>1</v>
      </c>
      <c r="AM50" s="90" t="str">
        <f>IF(OR(P50="Х",P50="св")," ",IF(AND(Q50&gt;=0,Q50&lt;3),"1"," "))</f>
        <v>1</v>
      </c>
      <c r="AN50" s="90" t="str">
        <f>IF(OR(R50="Х",R50="св")," ",IF(AND(S50&gt;=0,S50&lt;3),"1"," "))</f>
        <v>1</v>
      </c>
      <c r="AO50" s="90" t="str">
        <f>IF(OR(T50="Х",T50="св")," ",IF(AND(U50&gt;=0,U50&lt;3),"1"," "))</f>
        <v>1</v>
      </c>
      <c r="AP50" s="90">
        <f>COUNTIF(AH50:AO51,1)</f>
        <v>8</v>
      </c>
      <c r="AQ50" s="90">
        <f>AG50-AC50</f>
        <v>1280</v>
      </c>
      <c r="AR50" s="144">
        <f>IF(F50=0,0,IF(F50="Х",1,IF(H50="Х",2,IF(J50="Х",3,IF(L50="Х",4,IF(N50="Х",5,IF(P50="Х",6,IF(R50="Х",7,IF(T50="Х",8,IF(V50="Х",9,IF(Y50&gt;2.5,10,IF(AA50&gt;2.5,11,IF(AA50&gt;=0,12,IF(AA50=" ",0,))))))))))))))</f>
        <v>12</v>
      </c>
      <c r="AS50" s="90" t="str">
        <f>COUNTIF(AG$6:AG$134,"&gt;"&amp;AG$6:AG$134)+1&amp;REPT("-"&amp;COUNTIF(AG$6:AG$134,"&gt;="&amp;AG$6:AG$134),COUNTIF(AG$6:AG$134,AG50)&gt;1)</f>
        <v>1-54</v>
      </c>
      <c r="AT50" s="143" t="str">
        <f t="shared" ref="AT50:AW50" si="26">COUNTIF(AU$6:AU$134,"&gt;"&amp;AU$6:AU$134)+1&amp;REPT("-"&amp;COUNTIF(AU$6:AU$134,"&gt;="&amp;AU$6:AU$134),COUNTIF(AU$6:AU$134,AU50)&gt;1)</f>
        <v>1-64</v>
      </c>
      <c r="AU50" s="143" t="str">
        <f t="shared" si="26"/>
        <v>1-0</v>
      </c>
      <c r="AV50" s="143" t="str">
        <f t="shared" si="26"/>
        <v>1</v>
      </c>
      <c r="AW50" s="143" t="str">
        <f t="shared" si="26"/>
        <v>42</v>
      </c>
      <c r="AX50" s="145">
        <f>IF(X50="Х","Х",IF(Y50&lt;3,B50,"Х"))</f>
        <v>23</v>
      </c>
      <c r="AY50" s="146">
        <v>40.0</v>
      </c>
      <c r="AZ50" s="146"/>
      <c r="BA50" s="146">
        <v>40.0</v>
      </c>
      <c r="BB50" s="146"/>
      <c r="BC50" s="49">
        <v>40.0</v>
      </c>
      <c r="BD50" s="225">
        <v>39.0</v>
      </c>
      <c r="BE50" s="49">
        <v>40.0</v>
      </c>
      <c r="BF50" s="224">
        <v>40.0</v>
      </c>
      <c r="BG50" s="49">
        <v>40.0</v>
      </c>
      <c r="BH50" s="49">
        <v>40.0</v>
      </c>
      <c r="BI50" s="49"/>
      <c r="BJ50" s="49"/>
      <c r="BK50" s="49"/>
      <c r="BL50" s="49"/>
      <c r="BM50" s="195">
        <v>23.0</v>
      </c>
      <c r="BN50" s="196">
        <v>24.0</v>
      </c>
      <c r="BO50" s="153">
        <f>IF(BM50&lt;BN50,BM50,"")</f>
        <v>23</v>
      </c>
      <c r="BP50" s="196">
        <v>23.0</v>
      </c>
      <c r="BQ50" s="197">
        <f>IFERROR(__xludf.DUMMYFUNCTION("""COMPUTED_VALUE"""),44.0)</f>
        <v>44</v>
      </c>
      <c r="BR50" s="198">
        <v>23.0</v>
      </c>
      <c r="BS50" s="196">
        <v>21.0</v>
      </c>
      <c r="BT50" s="175" t="str">
        <f>IF(BR50&lt;BS50,BR50,"")</f>
        <v/>
      </c>
      <c r="BU50" s="196" t="s">
        <v>362</v>
      </c>
      <c r="BV50" s="196">
        <f>IFERROR(__xludf.DUMMYFUNCTION("""COMPUTED_VALUE"""),43.0)</f>
        <v>43</v>
      </c>
      <c r="BW50" s="199">
        <v>23.0</v>
      </c>
      <c r="BX50" s="74" t="s">
        <v>361</v>
      </c>
      <c r="BY50" s="160">
        <f t="array" ref="BY50">IF(BW50&lt;BX50,BW50,"")</f>
        <v>23</v>
      </c>
      <c r="BZ50" s="160">
        <f t="shared" si="3"/>
        <v>23</v>
      </c>
      <c r="CA50" s="74">
        <f>IFERROR(__xludf.DUMMYFUNCTION("""COMPUTED_VALUE"""),45.0)</f>
        <v>45</v>
      </c>
      <c r="CB50" s="74">
        <f t="shared" si="4"/>
        <v>45</v>
      </c>
      <c r="CC50" s="200"/>
      <c r="CD50" s="243"/>
      <c r="CE50" s="200">
        <v>23.0</v>
      </c>
      <c r="CF50" s="25" t="s">
        <v>361</v>
      </c>
      <c r="CG50" s="153">
        <f t="array" ref="CG50">IF(CE50&lt;CF50,CE50,"")</f>
        <v>23</v>
      </c>
      <c r="CH50" s="74">
        <v>23.0</v>
      </c>
      <c r="CI50" s="182">
        <f>IFERROR(__xludf.DUMMYFUNCTION("""COMPUTED_VALUE"""),45.0)</f>
        <v>45</v>
      </c>
      <c r="CJ50" s="93">
        <v>23.0</v>
      </c>
      <c r="CK50" s="233" t="s">
        <v>361</v>
      </c>
      <c r="CL50" s="153">
        <f t="array" ref="CL50">IF(CJ50&lt;CK50,CJ50,"")</f>
        <v>23</v>
      </c>
      <c r="CM50" s="49">
        <v>23.0</v>
      </c>
      <c r="CN50" s="49">
        <f>IFERROR(__xludf.DUMMYFUNCTION("""COMPUTED_VALUE"""),45.0)</f>
        <v>45</v>
      </c>
      <c r="CO50" s="74">
        <v>23.0</v>
      </c>
      <c r="CP50" s="200" t="s">
        <v>361</v>
      </c>
      <c r="CQ50" s="153">
        <f t="array" ref="CQ50">IF(CO50&lt;CP50,CO50,"")</f>
        <v>23</v>
      </c>
      <c r="CR50" s="93">
        <v>23.0</v>
      </c>
      <c r="CS50" s="234">
        <f>IFERROR(__xludf.DUMMYFUNCTION("""COMPUTED_VALUE"""),45.0)</f>
        <v>45</v>
      </c>
      <c r="CT50" s="200">
        <v>23.0</v>
      </c>
      <c r="CU50" s="74" t="s">
        <v>361</v>
      </c>
      <c r="CV50" s="153">
        <f t="array" ref="CV50">IF(CT50&lt;CU50,CT50,"")</f>
        <v>23</v>
      </c>
      <c r="CW50" s="49">
        <v>23.0</v>
      </c>
      <c r="CX50" s="49">
        <f>IFERROR(__xludf.DUMMYFUNCTION("""COMPUTED_VALUE"""),45.0)</f>
        <v>45</v>
      </c>
      <c r="CY50" s="200">
        <v>23.0</v>
      </c>
      <c r="CZ50" s="74" t="s">
        <v>361</v>
      </c>
      <c r="DA50" s="153">
        <f t="array" ref="DA50">IF(CY50&lt;CZ50,CY50,"")</f>
        <v>23</v>
      </c>
      <c r="DB50" s="49">
        <v>23.0</v>
      </c>
      <c r="DC50" s="49">
        <f>IFERROR(__xludf.DUMMYFUNCTION("""COMPUTED_VALUE"""),45.0)</f>
        <v>45</v>
      </c>
      <c r="DD50" s="49">
        <v>23.0</v>
      </c>
      <c r="DE50" s="49"/>
      <c r="DF50" s="49"/>
      <c r="DG50" s="49"/>
      <c r="DH50" s="49"/>
    </row>
    <row r="51" ht="13.5" customHeight="1">
      <c r="A51" s="118"/>
      <c r="B51" s="165"/>
      <c r="C51" s="165"/>
      <c r="D51" s="165"/>
      <c r="E51" s="165"/>
      <c r="F51" s="166"/>
      <c r="G51" s="167"/>
      <c r="H51" s="168"/>
      <c r="I51" s="167"/>
      <c r="J51" s="168"/>
      <c r="K51" s="167"/>
      <c r="L51" s="168"/>
      <c r="M51" s="167"/>
      <c r="N51" s="168"/>
      <c r="O51" s="167"/>
      <c r="P51" s="168"/>
      <c r="Q51" s="167"/>
      <c r="R51" s="168"/>
      <c r="S51" s="167"/>
      <c r="T51" s="168"/>
      <c r="U51" s="169"/>
      <c r="V51" s="168"/>
      <c r="W51" s="169"/>
      <c r="X51" s="168"/>
      <c r="Y51" s="167"/>
      <c r="Z51" s="168"/>
      <c r="AA51" s="167"/>
      <c r="AB51" s="166"/>
      <c r="AC51" s="165"/>
      <c r="AD51" s="168"/>
      <c r="AE51" s="170"/>
      <c r="AF51" s="171"/>
      <c r="AG51" s="113"/>
      <c r="AH51" s="113"/>
      <c r="AI51" s="113"/>
      <c r="AJ51" s="113"/>
      <c r="AK51" s="113"/>
      <c r="AL51" s="113"/>
      <c r="AM51" s="113"/>
      <c r="AN51" s="113"/>
      <c r="AO51" s="113"/>
      <c r="AP51" s="113"/>
      <c r="AQ51" s="113"/>
      <c r="AR51" s="113"/>
      <c r="AS51" s="113"/>
      <c r="AT51" s="113"/>
      <c r="AU51" s="113"/>
      <c r="AV51" s="113"/>
      <c r="AW51" s="113"/>
      <c r="AY51" s="146">
        <v>41.0</v>
      </c>
      <c r="AZ51" s="146"/>
      <c r="BA51" s="146">
        <v>41.0</v>
      </c>
      <c r="BB51" s="146"/>
      <c r="BC51" s="49">
        <v>41.0</v>
      </c>
      <c r="BD51" s="225">
        <v>40.0</v>
      </c>
      <c r="BE51" s="49">
        <v>41.0</v>
      </c>
      <c r="BF51" s="224">
        <v>39.0</v>
      </c>
      <c r="BG51" s="49">
        <v>41.0</v>
      </c>
      <c r="BH51" s="49">
        <v>41.0</v>
      </c>
      <c r="BI51" s="49"/>
      <c r="BJ51" s="49"/>
      <c r="BK51" s="49"/>
      <c r="BL51" s="49"/>
      <c r="BM51" s="178"/>
      <c r="BO51" s="175">
        <f>IF(BO50="","",BN50)</f>
        <v>24</v>
      </c>
      <c r="BP51" s="175">
        <v>24.0</v>
      </c>
      <c r="BQ51" s="197">
        <f>IFERROR(__xludf.DUMMYFUNCTION("""COMPUTED_VALUE"""),45.0)</f>
        <v>45</v>
      </c>
      <c r="BT51" s="175" t="str">
        <f>IF(BT50="","",BS50)</f>
        <v/>
      </c>
      <c r="BU51" s="175" t="s">
        <v>362</v>
      </c>
      <c r="BV51" s="196">
        <f>IFERROR(__xludf.DUMMYFUNCTION("""COMPUTED_VALUE"""),45.0)</f>
        <v>45</v>
      </c>
      <c r="BW51" s="178"/>
      <c r="BY51" s="160" t="str">
        <f>IF(BY50="","",BX50)</f>
        <v> </v>
      </c>
      <c r="BZ51" s="160" t="str">
        <f t="shared" si="3"/>
        <v> </v>
      </c>
      <c r="CA51" s="200">
        <f>IFERROR(__xludf.DUMMYFUNCTION("""COMPUTED_VALUE"""),46.0)</f>
        <v>46</v>
      </c>
      <c r="CB51" s="74">
        <f t="shared" si="4"/>
        <v>46</v>
      </c>
      <c r="CC51" s="200"/>
      <c r="CD51" s="243"/>
      <c r="CG51" s="180" t="str">
        <f>IF(CG50="","",CF50)</f>
        <v> </v>
      </c>
      <c r="CH51" s="200" t="s">
        <v>361</v>
      </c>
      <c r="CI51" s="182">
        <f>IFERROR(__xludf.DUMMYFUNCTION("""COMPUTED_VALUE"""),46.0)</f>
        <v>46</v>
      </c>
      <c r="CJ51" s="49" t="s">
        <v>362</v>
      </c>
      <c r="CK51" s="235"/>
      <c r="CL51" s="180" t="str">
        <f>IF(CL50="","",CK50)</f>
        <v> </v>
      </c>
      <c r="CM51" s="49" t="s">
        <v>361</v>
      </c>
      <c r="CN51" s="49">
        <f>IFERROR(__xludf.DUMMYFUNCTION("""COMPUTED_VALUE"""),46.0)</f>
        <v>46</v>
      </c>
      <c r="CQ51" s="180" t="str">
        <f>IF(CQ50="","",CP50)</f>
        <v> </v>
      </c>
      <c r="CR51" s="49" t="s">
        <v>361</v>
      </c>
      <c r="CS51" s="234">
        <f>IFERROR(__xludf.DUMMYFUNCTION("""COMPUTED_VALUE"""),46.0)</f>
        <v>46</v>
      </c>
      <c r="CV51" s="180" t="str">
        <f>IF(CV50="","",CU50)</f>
        <v> </v>
      </c>
      <c r="CW51" s="49" t="s">
        <v>361</v>
      </c>
      <c r="CX51" s="49">
        <f>IFERROR(__xludf.DUMMYFUNCTION("""COMPUTED_VALUE"""),46.0)</f>
        <v>46</v>
      </c>
      <c r="DA51" s="180" t="str">
        <f>IF(DA50="","",CZ50)</f>
        <v> </v>
      </c>
      <c r="DB51" s="49" t="s">
        <v>361</v>
      </c>
      <c r="DC51" s="49">
        <f>IFERROR(__xludf.DUMMYFUNCTION("""COMPUTED_VALUE"""),46.0)</f>
        <v>46</v>
      </c>
      <c r="DD51" s="49" t="s">
        <v>362</v>
      </c>
      <c r="DE51" s="49"/>
      <c r="DF51" s="49"/>
      <c r="DG51" s="49"/>
      <c r="DH51" s="49"/>
    </row>
    <row r="52" ht="13.5" customHeight="1">
      <c r="A52" s="118"/>
      <c r="B52" s="187">
        <v>24.0</v>
      </c>
      <c r="C52" s="188" t="str">
        <f>(VLOOKUP($B52,'Пр.взв'!$D$6:$J$63,2,0))</f>
        <v>КОБЕЛЕВ Никита</v>
      </c>
      <c r="D52" s="189" t="str">
        <f>(VLOOKUP($B52,'Пр.взв'!$D$6:$J$63,5,0))</f>
        <v>1р</v>
      </c>
      <c r="E52" s="190" t="str">
        <f>(VLOOKUP($B52,'Пр.взв'!$D$6:$M$63,8,0))</f>
        <v>Алтайский</v>
      </c>
      <c r="F52" s="130">
        <f>B50</f>
        <v>23</v>
      </c>
      <c r="G52" s="131"/>
      <c r="H52" s="132">
        <v>22.0</v>
      </c>
      <c r="I52" s="131"/>
      <c r="J52" s="133" t="str">
        <f>IF(H52="Х","Х",IF($AC52&lt;6," ","Х"))</f>
        <v> </v>
      </c>
      <c r="K52" s="134"/>
      <c r="L52" s="133" t="str">
        <f>IF(J52="Х","Х",IF(K52&lt;3," ",IF($AC52&lt;6," ","Х")))</f>
        <v> </v>
      </c>
      <c r="M52" s="134"/>
      <c r="N52" s="133" t="str">
        <f>IF(L52="Х","Х",IF(M52&lt;3," ",IF($AC52&lt;6," ","Х")))</f>
        <v> </v>
      </c>
      <c r="O52" s="134"/>
      <c r="P52" s="133" t="str">
        <f>IF(N52="Х","Х",IF(O52&lt;3," ",IF($AC52&lt;6," ","Х")))</f>
        <v> </v>
      </c>
      <c r="Q52" s="134"/>
      <c r="R52" s="133" t="str">
        <f>IF(P52="Х","Х",IF(Q52&lt;3," ",IF($AC52&lt;6," ","Х")))</f>
        <v> </v>
      </c>
      <c r="S52" s="134"/>
      <c r="T52" s="133" t="str">
        <f>IF(R52="Х","Х",IF(S52&lt;3," ",IF($AC52&lt;6," ","Х")))</f>
        <v> </v>
      </c>
      <c r="U52" s="135"/>
      <c r="V52" s="133" t="str">
        <f>IF(T52="Х","Х",IF(U52&lt;3," ",IF($AC52&lt;6," ","Х")))</f>
        <v> </v>
      </c>
      <c r="W52" s="135"/>
      <c r="X52" s="133" t="str">
        <f>IF(V52="А1",$AZ$7,IF(V52="Б2",$AZ$6,IF(V52="Б1",$BA$7,IF(V52="А2",$BA$6,IF(V52="Х","Х",IF(V52&lt;6," "," "))))))</f>
        <v> </v>
      </c>
      <c r="Y52" s="136"/>
      <c r="Z52" s="133" t="str">
        <f>IF(V52="Х","Х",IF(ISBLANK(Y52),"",IF(Y52&gt;2.5," ",IF(B52=BB$6,BB$7,BB$6))))</f>
        <v/>
      </c>
      <c r="AA52" s="136"/>
      <c r="AB52" s="240" t="str">
        <f>IF(H52="Х",F$5,IF(J52="Х",H$5,IF(L52="Х",J$5,IF(N52="Х",L$5,IF(P52="Х",N$5,IF(R52="Х",P$5,IF(T52="Х",R$5,IF(X52="Х",T$5,""))))))))</f>
        <v/>
      </c>
      <c r="AC52" s="138">
        <f>SUM(G52+I52+K52+M52+O52+Q52+S52+U52+Y52+AA52)</f>
        <v>0</v>
      </c>
      <c r="AD52" s="241" t="str">
        <f>AF52</f>
        <v>1-54</v>
      </c>
      <c r="AE52" s="140" t="str">
        <f>AD52</f>
        <v>1-54</v>
      </c>
      <c r="AF52" s="141" t="str">
        <f>COUNTIF(AG$6:AG$148,"&gt;"&amp;AG$6:AG$148)+1&amp;REPT("-"&amp;COUNTIF(AG$6:AG$148,"&gt;="&amp;AG$6:AG$148),COUNTIF(AG$6:AG$148,AG52)&gt;1)</f>
        <v>1-54</v>
      </c>
      <c r="AG52" s="142">
        <f>(AR52*100)+(AP52*10)-AC52</f>
        <v>1280</v>
      </c>
      <c r="AH52" s="143" t="str">
        <f>IF(OR(F52="Х",F52="св")," ",IF(AND(G52&gt;=0,G52&lt;3),"1"," "))</f>
        <v>1</v>
      </c>
      <c r="AI52" s="90" t="str">
        <f>IF(OR(H52="Х",H52="св")," ",IF(AND(I52&gt;=0,I52&lt;3),"1"," "))</f>
        <v>1</v>
      </c>
      <c r="AJ52" s="90" t="str">
        <f>IF(OR(J52="Х",J52="св")," ",IF(AND(K52&gt;=0,K52&lt;3),"1"," "))</f>
        <v>1</v>
      </c>
      <c r="AK52" s="90" t="str">
        <f>IF(OR(L52="Х",L52="св")," ",IF(AND(M52&gt;=0,M52&lt;3),"1"," "))</f>
        <v>1</v>
      </c>
      <c r="AL52" s="90" t="str">
        <f>IF(OR(N52="Х",N52="св")," ",IF(AND(O52&gt;=0,O52&lt;3),"1"," "))</f>
        <v>1</v>
      </c>
      <c r="AM52" s="90" t="str">
        <f>IF(OR(P52="Х",P52="св")," ",IF(AND(Q52&gt;=0,Q52&lt;3),"1"," "))</f>
        <v>1</v>
      </c>
      <c r="AN52" s="90" t="str">
        <f>IF(OR(R52="Х",R52="св")," ",IF(AND(S52&gt;=0,S52&lt;3),"1"," "))</f>
        <v>1</v>
      </c>
      <c r="AO52" s="90" t="str">
        <f>IF(OR(T52="Х",T52="св")," ",IF(AND(U52&gt;=0,U52&lt;3),"1"," "))</f>
        <v>1</v>
      </c>
      <c r="AP52" s="90">
        <f>COUNTIF(AH52:AO53,1)</f>
        <v>8</v>
      </c>
      <c r="AQ52" s="90">
        <f>AG52-AC52</f>
        <v>1280</v>
      </c>
      <c r="AR52" s="144">
        <f>IF(F52=0,0,IF(F52="Х",1,IF(H52="Х",2,IF(J52="Х",3,IF(L52="Х",4,IF(N52="Х",5,IF(P52="Х",6,IF(R52="Х",7,IF(T52="Х",8,IF(V52="Х",9,IF(Y52&gt;2.5,10,IF(AA52&gt;2.5,11,IF(AA52&gt;=0,12,IF(AA52=" ",0,))))))))))))))</f>
        <v>12</v>
      </c>
      <c r="AS52" s="90" t="str">
        <f>COUNTIF(AG$6:AG$134,"&gt;"&amp;AG$6:AG$134)+1&amp;REPT("-"&amp;COUNTIF(AG$6:AG$134,"&gt;="&amp;AG$6:AG$134),COUNTIF(AG$6:AG$134,AG52)&gt;1)</f>
        <v>1-54</v>
      </c>
      <c r="AT52" s="143" t="str">
        <f t="shared" ref="AT52:AW52" si="27">COUNTIF(AU$6:AU$134,"&gt;"&amp;AU$6:AU$134)+1&amp;REPT("-"&amp;COUNTIF(AU$6:AU$134,"&gt;="&amp;AU$6:AU$134),COUNTIF(AU$6:AU$134,AU52)&gt;1)</f>
        <v>1-64</v>
      </c>
      <c r="AU52" s="143" t="str">
        <f t="shared" si="27"/>
        <v>1-0</v>
      </c>
      <c r="AV52" s="143" t="str">
        <f t="shared" si="27"/>
        <v>1</v>
      </c>
      <c r="AW52" s="143" t="str">
        <f t="shared" si="27"/>
        <v>41</v>
      </c>
      <c r="AX52" s="145">
        <f>IF(X52="Х","Х",IF(Y52&lt;3,B52,"Х"))</f>
        <v>24</v>
      </c>
      <c r="AY52" s="146">
        <v>42.0</v>
      </c>
      <c r="AZ52" s="146"/>
      <c r="BA52" s="146">
        <v>42.0</v>
      </c>
      <c r="BB52" s="146"/>
      <c r="BC52" s="49">
        <v>42.0</v>
      </c>
      <c r="BD52" s="225">
        <v>41.0</v>
      </c>
      <c r="BE52" s="49">
        <v>42.0</v>
      </c>
      <c r="BF52" s="224">
        <v>41.0</v>
      </c>
      <c r="BG52" s="49">
        <v>42.0</v>
      </c>
      <c r="BH52" s="49">
        <v>42.0</v>
      </c>
      <c r="BI52" s="49"/>
      <c r="BJ52" s="49"/>
      <c r="BK52" s="49"/>
      <c r="BL52" s="49"/>
      <c r="BM52" s="195">
        <v>24.0</v>
      </c>
      <c r="BN52" s="196">
        <v>23.0</v>
      </c>
      <c r="BO52" s="153" t="str">
        <f>IF(BM52&lt;BN52,BM52,"")</f>
        <v/>
      </c>
      <c r="BP52" s="196" t="s">
        <v>362</v>
      </c>
      <c r="BQ52" s="197">
        <f>IFERROR(__xludf.DUMMYFUNCTION("""COMPUTED_VALUE"""),46.0)</f>
        <v>46</v>
      </c>
      <c r="BR52" s="198">
        <v>24.0</v>
      </c>
      <c r="BS52" s="196">
        <v>22.0</v>
      </c>
      <c r="BT52" s="175" t="str">
        <f>IF(BR52&lt;BS52,BR52,"")</f>
        <v/>
      </c>
      <c r="BU52" s="196" t="s">
        <v>362</v>
      </c>
      <c r="BV52" s="196">
        <f>IFERROR(__xludf.DUMMYFUNCTION("""COMPUTED_VALUE"""),46.0)</f>
        <v>46</v>
      </c>
      <c r="BW52" s="199">
        <v>24.0</v>
      </c>
      <c r="BX52" s="74" t="s">
        <v>361</v>
      </c>
      <c r="BY52" s="160">
        <f t="array" ref="BY52">IF(BW52&lt;BX52,BW52,"")</f>
        <v>24</v>
      </c>
      <c r="BZ52" s="160">
        <f t="shared" si="3"/>
        <v>24</v>
      </c>
      <c r="CA52" s="74">
        <f>IFERROR(__xludf.DUMMYFUNCTION("""COMPUTED_VALUE"""),47.0)</f>
        <v>47</v>
      </c>
      <c r="CB52" s="74">
        <f t="shared" si="4"/>
        <v>47</v>
      </c>
      <c r="CC52" s="200"/>
      <c r="CD52" s="243"/>
      <c r="CE52" s="200">
        <v>24.0</v>
      </c>
      <c r="CF52" s="25" t="s">
        <v>361</v>
      </c>
      <c r="CG52" s="153">
        <f t="array" ref="CG52">IF(CE52&lt;CF52,CE52,"")</f>
        <v>24</v>
      </c>
      <c r="CH52" s="74">
        <v>24.0</v>
      </c>
      <c r="CI52" s="182">
        <f>IFERROR(__xludf.DUMMYFUNCTION("""COMPUTED_VALUE"""),47.0)</f>
        <v>47</v>
      </c>
      <c r="CJ52" s="93">
        <v>24.0</v>
      </c>
      <c r="CK52" s="233" t="s">
        <v>361</v>
      </c>
      <c r="CL52" s="153">
        <f t="array" ref="CL52">IF(CJ52&lt;CK52,CJ52,"")</f>
        <v>24</v>
      </c>
      <c r="CM52" s="49">
        <v>24.0</v>
      </c>
      <c r="CN52" s="49">
        <f>IFERROR(__xludf.DUMMYFUNCTION("""COMPUTED_VALUE"""),47.0)</f>
        <v>47</v>
      </c>
      <c r="CO52" s="74">
        <v>24.0</v>
      </c>
      <c r="CP52" s="200" t="s">
        <v>361</v>
      </c>
      <c r="CQ52" s="153">
        <f t="array" ref="CQ52">IF(CO52&lt;CP52,CO52,"")</f>
        <v>24</v>
      </c>
      <c r="CR52" s="93">
        <v>24.0</v>
      </c>
      <c r="CS52" s="234">
        <f>IFERROR(__xludf.DUMMYFUNCTION("""COMPUTED_VALUE"""),47.0)</f>
        <v>47</v>
      </c>
      <c r="CT52" s="200">
        <v>24.0</v>
      </c>
      <c r="CU52" s="74" t="s">
        <v>361</v>
      </c>
      <c r="CV52" s="153">
        <f t="array" ref="CV52">IF(CT52&lt;CU52,CT52,"")</f>
        <v>24</v>
      </c>
      <c r="CW52" s="49">
        <v>24.0</v>
      </c>
      <c r="CX52" s="49">
        <f>IFERROR(__xludf.DUMMYFUNCTION("""COMPUTED_VALUE"""),47.0)</f>
        <v>47</v>
      </c>
      <c r="CY52" s="200">
        <v>24.0</v>
      </c>
      <c r="CZ52" s="74" t="s">
        <v>361</v>
      </c>
      <c r="DA52" s="153">
        <f t="array" ref="DA52">IF(CY52&lt;CZ52,CY52,"")</f>
        <v>24</v>
      </c>
      <c r="DB52" s="49">
        <v>24.0</v>
      </c>
      <c r="DC52" s="49">
        <f>IFERROR(__xludf.DUMMYFUNCTION("""COMPUTED_VALUE"""),47.0)</f>
        <v>47</v>
      </c>
      <c r="DD52" s="49">
        <v>24.0</v>
      </c>
      <c r="DE52" s="49"/>
      <c r="DF52" s="49"/>
      <c r="DG52" s="49"/>
      <c r="DH52" s="49"/>
    </row>
    <row r="53" ht="13.5" customHeight="1">
      <c r="A53" s="118"/>
      <c r="B53" s="165"/>
      <c r="C53" s="165"/>
      <c r="D53" s="165"/>
      <c r="E53" s="165"/>
      <c r="F53" s="166"/>
      <c r="G53" s="167"/>
      <c r="H53" s="168"/>
      <c r="I53" s="167"/>
      <c r="J53" s="168"/>
      <c r="K53" s="167"/>
      <c r="L53" s="168"/>
      <c r="M53" s="167"/>
      <c r="N53" s="168"/>
      <c r="O53" s="167"/>
      <c r="P53" s="168"/>
      <c r="Q53" s="167"/>
      <c r="R53" s="168"/>
      <c r="S53" s="167"/>
      <c r="T53" s="168"/>
      <c r="U53" s="169"/>
      <c r="V53" s="168"/>
      <c r="W53" s="169"/>
      <c r="X53" s="168"/>
      <c r="Y53" s="167"/>
      <c r="Z53" s="168"/>
      <c r="AA53" s="167"/>
      <c r="AB53" s="166"/>
      <c r="AC53" s="165"/>
      <c r="AD53" s="168"/>
      <c r="AE53" s="170"/>
      <c r="AF53" s="171"/>
      <c r="AG53" s="113"/>
      <c r="AH53" s="113"/>
      <c r="AI53" s="113"/>
      <c r="AJ53" s="113"/>
      <c r="AK53" s="113"/>
      <c r="AL53" s="113"/>
      <c r="AM53" s="113"/>
      <c r="AN53" s="113"/>
      <c r="AO53" s="113"/>
      <c r="AP53" s="113"/>
      <c r="AQ53" s="113"/>
      <c r="AR53" s="113"/>
      <c r="AS53" s="113"/>
      <c r="AT53" s="113"/>
      <c r="AU53" s="113"/>
      <c r="AV53" s="113"/>
      <c r="AW53" s="113"/>
      <c r="AY53" s="146">
        <v>43.0</v>
      </c>
      <c r="AZ53" s="146"/>
      <c r="BA53" s="146">
        <v>43.0</v>
      </c>
      <c r="BB53" s="146"/>
      <c r="BC53" s="49">
        <v>43.0</v>
      </c>
      <c r="BD53" s="225">
        <v>42.0</v>
      </c>
      <c r="BE53" s="49">
        <v>43.0</v>
      </c>
      <c r="BF53" s="224">
        <v>42.0</v>
      </c>
      <c r="BG53" s="49">
        <v>43.0</v>
      </c>
      <c r="BH53" s="49">
        <v>43.0</v>
      </c>
      <c r="BI53" s="49"/>
      <c r="BJ53" s="49"/>
      <c r="BK53" s="49"/>
      <c r="BL53" s="49"/>
      <c r="BM53" s="178"/>
      <c r="BO53" s="175" t="str">
        <f>IF(BO52="","",BN52)</f>
        <v/>
      </c>
      <c r="BP53" s="175" t="s">
        <v>362</v>
      </c>
      <c r="BQ53" s="197">
        <f>IFERROR(__xludf.DUMMYFUNCTION("""COMPUTED_VALUE"""),47.0)</f>
        <v>47</v>
      </c>
      <c r="BT53" s="175" t="str">
        <f>IF(BT52="","",BS52)</f>
        <v/>
      </c>
      <c r="BU53" s="175" t="s">
        <v>362</v>
      </c>
      <c r="BV53" s="196">
        <f>IFERROR(__xludf.DUMMYFUNCTION("""COMPUTED_VALUE"""),48.0)</f>
        <v>48</v>
      </c>
      <c r="BW53" s="178"/>
      <c r="BY53" s="160" t="str">
        <f>IF(BY52="","",BX52)</f>
        <v> </v>
      </c>
      <c r="BZ53" s="160" t="str">
        <f t="shared" si="3"/>
        <v> </v>
      </c>
      <c r="CA53" s="200">
        <f>IFERROR(__xludf.DUMMYFUNCTION("""COMPUTED_VALUE"""),48.0)</f>
        <v>48</v>
      </c>
      <c r="CB53" s="74">
        <f t="shared" si="4"/>
        <v>48</v>
      </c>
      <c r="CC53" s="200"/>
      <c r="CD53" s="243"/>
      <c r="CG53" s="180" t="str">
        <f>IF(CG52="","",CF52)</f>
        <v> </v>
      </c>
      <c r="CH53" s="200" t="s">
        <v>361</v>
      </c>
      <c r="CI53" s="182">
        <f>IFERROR(__xludf.DUMMYFUNCTION("""COMPUTED_VALUE"""),48.0)</f>
        <v>48</v>
      </c>
      <c r="CJ53" s="49" t="s">
        <v>362</v>
      </c>
      <c r="CK53" s="235"/>
      <c r="CL53" s="180" t="str">
        <f>IF(CL52="","",CK52)</f>
        <v> </v>
      </c>
      <c r="CM53" s="49" t="s">
        <v>361</v>
      </c>
      <c r="CN53" s="49">
        <f>IFERROR(__xludf.DUMMYFUNCTION("""COMPUTED_VALUE"""),48.0)</f>
        <v>48</v>
      </c>
      <c r="CQ53" s="180" t="str">
        <f>IF(CQ52="","",CP52)</f>
        <v> </v>
      </c>
      <c r="CR53" s="49" t="s">
        <v>361</v>
      </c>
      <c r="CS53" s="234">
        <f>IFERROR(__xludf.DUMMYFUNCTION("""COMPUTED_VALUE"""),48.0)</f>
        <v>48</v>
      </c>
      <c r="CV53" s="180" t="str">
        <f>IF(CV52="","",CU52)</f>
        <v> </v>
      </c>
      <c r="CW53" s="49" t="s">
        <v>361</v>
      </c>
      <c r="CX53" s="49">
        <f>IFERROR(__xludf.DUMMYFUNCTION("""COMPUTED_VALUE"""),48.0)</f>
        <v>48</v>
      </c>
      <c r="DA53" s="180" t="str">
        <f>IF(DA52="","",CZ52)</f>
        <v> </v>
      </c>
      <c r="DB53" s="49" t="s">
        <v>361</v>
      </c>
      <c r="DC53" s="49">
        <f>IFERROR(__xludf.DUMMYFUNCTION("""COMPUTED_VALUE"""),48.0)</f>
        <v>48</v>
      </c>
      <c r="DD53" s="49" t="s">
        <v>362</v>
      </c>
      <c r="DE53" s="49"/>
      <c r="DF53" s="49"/>
      <c r="DG53" s="49"/>
      <c r="DH53" s="49"/>
    </row>
    <row r="54" ht="13.5" customHeight="1">
      <c r="A54" s="118"/>
      <c r="B54" s="187">
        <v>25.0</v>
      </c>
      <c r="C54" s="188" t="str">
        <f>(VLOOKUP($B54,'Пр.взв'!$D$6:$J$63,2,0))</f>
        <v>ФЕДУРОВ  Иван </v>
      </c>
      <c r="D54" s="189" t="str">
        <f>(VLOOKUP($B54,'Пр.взв'!$D$6:$J$63,5,0))</f>
        <v>1р</v>
      </c>
      <c r="E54" s="190" t="str">
        <f>(VLOOKUP($B54,'Пр.взв'!$D$6:$M$63,8,0))</f>
        <v>Рязанская</v>
      </c>
      <c r="F54" s="130">
        <f>B56</f>
        <v>26</v>
      </c>
      <c r="G54" s="131"/>
      <c r="H54" s="132">
        <v>27.0</v>
      </c>
      <c r="I54" s="131"/>
      <c r="J54" s="133" t="str">
        <f>IF(H54="Х","Х",IF($AC54&lt;6," ","Х"))</f>
        <v> </v>
      </c>
      <c r="K54" s="134"/>
      <c r="L54" s="133" t="str">
        <f>IF(J54="Х","Х",IF(K54&lt;3," ",IF($AC54&lt;6," ","Х")))</f>
        <v> </v>
      </c>
      <c r="M54" s="134"/>
      <c r="N54" s="133" t="str">
        <f>IF(L54="Х","Х",IF(M54&lt;3," ",IF($AC54&lt;6," ","Х")))</f>
        <v> </v>
      </c>
      <c r="O54" s="134"/>
      <c r="P54" s="133" t="str">
        <f>IF(N54="Х","Х",IF(O54&lt;3," ",IF($AC54&lt;6," ","Х")))</f>
        <v> </v>
      </c>
      <c r="Q54" s="134"/>
      <c r="R54" s="133" t="str">
        <f>IF(P54="Х","Х",IF(Q54&lt;3," ",IF($AC54&lt;6," ","Х")))</f>
        <v> </v>
      </c>
      <c r="S54" s="134"/>
      <c r="T54" s="133" t="str">
        <f>IF(R54="Х","Х",IF(S54&lt;3," ",IF($AC54&lt;6," ","Х")))</f>
        <v> </v>
      </c>
      <c r="U54" s="135"/>
      <c r="V54" s="133" t="str">
        <f>IF(T54="Х","Х",IF(U54&lt;3," ",IF($AC54&lt;6," ","Х")))</f>
        <v> </v>
      </c>
      <c r="W54" s="135"/>
      <c r="X54" s="133" t="str">
        <f>IF(V54="А1",$AZ$7,IF(V54="Б2",$AZ$6,IF(V54="Б1",$BA$7,IF(V54="А2",$BA$6,IF(V54="Х","Х",IF(V54&lt;6," "," "))))))</f>
        <v> </v>
      </c>
      <c r="Y54" s="136"/>
      <c r="Z54" s="133" t="str">
        <f>IF(V54="Х","Х",IF(ISBLANK(Y54),"",IF(Y54&gt;2.5," ",IF(B54=BB$6,BB$7,BB$6))))</f>
        <v/>
      </c>
      <c r="AA54" s="136"/>
      <c r="AB54" s="240" t="str">
        <f>IF(H54="Х",F$5,IF(J54="Х",H$5,IF(L54="Х",J$5,IF(N54="Х",L$5,IF(P54="Х",N$5,IF(R54="Х",P$5,IF(T54="Х",R$5,IF(X54="Х",T$5,""))))))))</f>
        <v/>
      </c>
      <c r="AC54" s="138">
        <f>SUM(G54+I54+K54+M54+O54+Q54+S54+U54+Y54+AA54)</f>
        <v>0</v>
      </c>
      <c r="AD54" s="241" t="str">
        <f>AF54</f>
        <v>1-54</v>
      </c>
      <c r="AE54" s="140" t="str">
        <f>AD54</f>
        <v>1-54</v>
      </c>
      <c r="AF54" s="141" t="str">
        <f>COUNTIF(AG$6:AG$148,"&gt;"&amp;AG$6:AG$148)+1&amp;REPT("-"&amp;COUNTIF(AG$6:AG$148,"&gt;="&amp;AG$6:AG$148),COUNTIF(AG$6:AG$148,AG54)&gt;1)</f>
        <v>1-54</v>
      </c>
      <c r="AG54" s="142">
        <f>(AR54*100)+(AP54*10)-AC54</f>
        <v>1280</v>
      </c>
      <c r="AH54" s="143" t="str">
        <f>IF(OR(F54="Х",F54="св")," ",IF(AND(G54&gt;=0,G54&lt;3),"1"," "))</f>
        <v>1</v>
      </c>
      <c r="AI54" s="90" t="str">
        <f>IF(OR(H54="Х",H54="св")," ",IF(AND(I54&gt;=0,I54&lt;3),"1"," "))</f>
        <v>1</v>
      </c>
      <c r="AJ54" s="90" t="str">
        <f>IF(OR(J54="Х",J54="св")," ",IF(AND(K54&gt;=0,K54&lt;3),"1"," "))</f>
        <v>1</v>
      </c>
      <c r="AK54" s="90" t="str">
        <f>IF(OR(L54="Х",L54="св")," ",IF(AND(M54&gt;=0,M54&lt;3),"1"," "))</f>
        <v>1</v>
      </c>
      <c r="AL54" s="90" t="str">
        <f>IF(OR(N54="Х",N54="св")," ",IF(AND(O54&gt;=0,O54&lt;3),"1"," "))</f>
        <v>1</v>
      </c>
      <c r="AM54" s="90" t="str">
        <f>IF(OR(P54="Х",P54="св")," ",IF(AND(Q54&gt;=0,Q54&lt;3),"1"," "))</f>
        <v>1</v>
      </c>
      <c r="AN54" s="90" t="str">
        <f>IF(OR(R54="Х",R54="св")," ",IF(AND(S54&gt;=0,S54&lt;3),"1"," "))</f>
        <v>1</v>
      </c>
      <c r="AO54" s="90" t="str">
        <f>IF(OR(T54="Х",T54="св")," ",IF(AND(U54&gt;=0,U54&lt;3),"1"," "))</f>
        <v>1</v>
      </c>
      <c r="AP54" s="90">
        <f>COUNTIF(AH54:AO55,1)</f>
        <v>8</v>
      </c>
      <c r="AQ54" s="90">
        <f>AG54-AC54</f>
        <v>1280</v>
      </c>
      <c r="AR54" s="144">
        <f>IF(F54=0,0,IF(F54="Х",1,IF(H54="Х",2,IF(J54="Х",3,IF(L54="Х",4,IF(N54="Х",5,IF(P54="Х",6,IF(R54="Х",7,IF(T54="Х",8,IF(V54="Х",9,IF(Y54&gt;2.5,10,IF(AA54&gt;2.5,11,IF(AA54&gt;=0,12,IF(AA54=" ",0,))))))))))))))</f>
        <v>12</v>
      </c>
      <c r="AS54" s="90" t="str">
        <f>COUNTIF(AG$6:AG$134,"&gt;"&amp;AG$6:AG$134)+1&amp;REPT("-"&amp;COUNTIF(AG$6:AG$134,"&gt;="&amp;AG$6:AG$134),COUNTIF(AG$6:AG$134,AG54)&gt;1)</f>
        <v>1-54</v>
      </c>
      <c r="AT54" s="143" t="str">
        <f t="shared" ref="AT54:AW54" si="28">COUNTIF(AU$6:AU$134,"&gt;"&amp;AU$6:AU$134)+1&amp;REPT("-"&amp;COUNTIF(AU$6:AU$134,"&gt;="&amp;AU$6:AU$134),COUNTIF(AU$6:AU$134,AU54)&gt;1)</f>
        <v>1-64</v>
      </c>
      <c r="AU54" s="143" t="str">
        <f t="shared" si="28"/>
        <v>1-0</v>
      </c>
      <c r="AV54" s="143" t="str">
        <f t="shared" si="28"/>
        <v>1</v>
      </c>
      <c r="AW54" s="143" t="str">
        <f t="shared" si="28"/>
        <v>40</v>
      </c>
      <c r="AX54" s="145">
        <f>IF(X54="Х","Х",IF(Y54&lt;3,B54,"Х"))</f>
        <v>25</v>
      </c>
      <c r="AY54" s="146">
        <v>44.0</v>
      </c>
      <c r="AZ54" s="146"/>
      <c r="BA54" s="146">
        <v>44.0</v>
      </c>
      <c r="BB54" s="146"/>
      <c r="BC54" s="49">
        <v>44.0</v>
      </c>
      <c r="BD54" s="225">
        <v>43.0</v>
      </c>
      <c r="BE54" s="49">
        <v>44.0</v>
      </c>
      <c r="BF54" s="224">
        <v>44.0</v>
      </c>
      <c r="BG54" s="49">
        <v>44.0</v>
      </c>
      <c r="BH54" s="49">
        <v>44.0</v>
      </c>
      <c r="BI54" s="49"/>
      <c r="BJ54" s="49"/>
      <c r="BK54" s="49"/>
      <c r="BL54" s="49"/>
      <c r="BM54" s="195">
        <v>25.0</v>
      </c>
      <c r="BN54" s="196">
        <v>26.0</v>
      </c>
      <c r="BO54" s="153">
        <f>IF(BM54&lt;BN54,BM54,"")</f>
        <v>25</v>
      </c>
      <c r="BP54" s="196">
        <v>25.0</v>
      </c>
      <c r="BQ54" s="197">
        <f>IFERROR(__xludf.DUMMYFUNCTION("""COMPUTED_VALUE"""),48.0)</f>
        <v>48</v>
      </c>
      <c r="BR54" s="198">
        <v>25.0</v>
      </c>
      <c r="BS54" s="196">
        <v>27.0</v>
      </c>
      <c r="BT54" s="175">
        <f>IF(BR54&lt;BS54,BR54,"")</f>
        <v>25</v>
      </c>
      <c r="BU54" s="196">
        <v>25.0</v>
      </c>
      <c r="BV54" s="196">
        <f>IFERROR(__xludf.DUMMYFUNCTION("""COMPUTED_VALUE"""),47.0)</f>
        <v>47</v>
      </c>
      <c r="BW54" s="199">
        <v>25.0</v>
      </c>
      <c r="BX54" s="74" t="s">
        <v>361</v>
      </c>
      <c r="BY54" s="160">
        <f t="array" ref="BY54">IF(BW54&lt;BX54,BW54,"")</f>
        <v>25</v>
      </c>
      <c r="BZ54" s="160">
        <f t="shared" si="3"/>
        <v>25</v>
      </c>
      <c r="CA54" s="74">
        <f>IFERROR(__xludf.DUMMYFUNCTION("""COMPUTED_VALUE"""),49.0)</f>
        <v>49</v>
      </c>
      <c r="CB54" s="74">
        <f t="shared" si="4"/>
        <v>49</v>
      </c>
      <c r="CC54" s="200"/>
      <c r="CD54" s="243"/>
      <c r="CE54" s="200">
        <v>25.0</v>
      </c>
      <c r="CF54" s="25" t="s">
        <v>361</v>
      </c>
      <c r="CG54" s="153">
        <f t="array" ref="CG54">IF(CE54&lt;CF54,CE54,"")</f>
        <v>25</v>
      </c>
      <c r="CH54" s="74">
        <v>25.0</v>
      </c>
      <c r="CI54" s="182">
        <f>IFERROR(__xludf.DUMMYFUNCTION("""COMPUTED_VALUE"""),49.0)</f>
        <v>49</v>
      </c>
      <c r="CJ54" s="93">
        <v>25.0</v>
      </c>
      <c r="CK54" s="233" t="s">
        <v>361</v>
      </c>
      <c r="CL54" s="153">
        <f t="array" ref="CL54">IF(CJ54&lt;CK54,CJ54,"")</f>
        <v>25</v>
      </c>
      <c r="CM54" s="49">
        <v>25.0</v>
      </c>
      <c r="CN54" s="49">
        <f>IFERROR(__xludf.DUMMYFUNCTION("""COMPUTED_VALUE"""),49.0)</f>
        <v>49</v>
      </c>
      <c r="CO54" s="74">
        <v>25.0</v>
      </c>
      <c r="CP54" s="200" t="s">
        <v>361</v>
      </c>
      <c r="CQ54" s="153">
        <f t="array" ref="CQ54">IF(CO54&lt;CP54,CO54,"")</f>
        <v>25</v>
      </c>
      <c r="CR54" s="93">
        <v>25.0</v>
      </c>
      <c r="CS54" s="234">
        <f>IFERROR(__xludf.DUMMYFUNCTION("""COMPUTED_VALUE"""),49.0)</f>
        <v>49</v>
      </c>
      <c r="CT54" s="200">
        <v>25.0</v>
      </c>
      <c r="CU54" s="74" t="s">
        <v>361</v>
      </c>
      <c r="CV54" s="153">
        <f t="array" ref="CV54">IF(CT54&lt;CU54,CT54,"")</f>
        <v>25</v>
      </c>
      <c r="CW54" s="49">
        <v>25.0</v>
      </c>
      <c r="CX54" s="49">
        <f>IFERROR(__xludf.DUMMYFUNCTION("""COMPUTED_VALUE"""),49.0)</f>
        <v>49</v>
      </c>
      <c r="CY54" s="200">
        <v>25.0</v>
      </c>
      <c r="CZ54" s="74" t="s">
        <v>361</v>
      </c>
      <c r="DA54" s="153">
        <f t="array" ref="DA54">IF(CY54&lt;CZ54,CY54,"")</f>
        <v>25</v>
      </c>
      <c r="DB54" s="49">
        <v>25.0</v>
      </c>
      <c r="DC54" s="49">
        <f>IFERROR(__xludf.DUMMYFUNCTION("""COMPUTED_VALUE"""),49.0)</f>
        <v>49</v>
      </c>
      <c r="DD54" s="49">
        <v>25.0</v>
      </c>
      <c r="DE54" s="49"/>
      <c r="DF54" s="49"/>
      <c r="DG54" s="49"/>
      <c r="DH54" s="49"/>
    </row>
    <row r="55" ht="13.5" customHeight="1">
      <c r="A55" s="118"/>
      <c r="B55" s="165"/>
      <c r="C55" s="165"/>
      <c r="D55" s="165"/>
      <c r="E55" s="165"/>
      <c r="F55" s="166"/>
      <c r="G55" s="167"/>
      <c r="H55" s="168"/>
      <c r="I55" s="167"/>
      <c r="J55" s="168"/>
      <c r="K55" s="167"/>
      <c r="L55" s="168"/>
      <c r="M55" s="167"/>
      <c r="N55" s="168"/>
      <c r="O55" s="167"/>
      <c r="P55" s="168"/>
      <c r="Q55" s="167"/>
      <c r="R55" s="168"/>
      <c r="S55" s="167"/>
      <c r="T55" s="168"/>
      <c r="U55" s="169"/>
      <c r="V55" s="168"/>
      <c r="W55" s="169"/>
      <c r="X55" s="168"/>
      <c r="Y55" s="167"/>
      <c r="Z55" s="168"/>
      <c r="AA55" s="167"/>
      <c r="AB55" s="166"/>
      <c r="AC55" s="165"/>
      <c r="AD55" s="168"/>
      <c r="AE55" s="170"/>
      <c r="AF55" s="171"/>
      <c r="AG55" s="113"/>
      <c r="AH55" s="113"/>
      <c r="AI55" s="113"/>
      <c r="AJ55" s="113"/>
      <c r="AK55" s="113"/>
      <c r="AL55" s="113"/>
      <c r="AM55" s="113"/>
      <c r="AN55" s="113"/>
      <c r="AO55" s="113"/>
      <c r="AP55" s="113"/>
      <c r="AQ55" s="113"/>
      <c r="AR55" s="113"/>
      <c r="AS55" s="113"/>
      <c r="AT55" s="113"/>
      <c r="AU55" s="113"/>
      <c r="AV55" s="113"/>
      <c r="AW55" s="113"/>
      <c r="AY55" s="146">
        <v>45.0</v>
      </c>
      <c r="AZ55" s="146"/>
      <c r="BA55" s="146">
        <v>45.0</v>
      </c>
      <c r="BB55" s="146"/>
      <c r="BC55" s="49">
        <v>45.0</v>
      </c>
      <c r="BD55" s="225">
        <v>44.0</v>
      </c>
      <c r="BE55" s="49">
        <v>45.0</v>
      </c>
      <c r="BF55" s="224">
        <v>43.0</v>
      </c>
      <c r="BG55" s="49">
        <v>45.0</v>
      </c>
      <c r="BH55" s="49">
        <v>45.0</v>
      </c>
      <c r="BI55" s="49"/>
      <c r="BJ55" s="49"/>
      <c r="BK55" s="49"/>
      <c r="BL55" s="49"/>
      <c r="BM55" s="178"/>
      <c r="BO55" s="175">
        <f>IF(BO54="","",BN54)</f>
        <v>26</v>
      </c>
      <c r="BP55" s="175">
        <v>26.0</v>
      </c>
      <c r="BQ55" s="197">
        <f>IFERROR(__xludf.DUMMYFUNCTION("""COMPUTED_VALUE"""),49.0)</f>
        <v>49</v>
      </c>
      <c r="BT55" s="175">
        <f>IF(BT54="","",BS54)</f>
        <v>27</v>
      </c>
      <c r="BU55" s="175">
        <v>27.0</v>
      </c>
      <c r="BV55" s="196">
        <f>IFERROR(__xludf.DUMMYFUNCTION("""COMPUTED_VALUE"""),49.0)</f>
        <v>49</v>
      </c>
      <c r="BW55" s="178"/>
      <c r="BY55" s="160" t="str">
        <f>IF(BY54="","",BX54)</f>
        <v> </v>
      </c>
      <c r="BZ55" s="160" t="str">
        <f t="shared" si="3"/>
        <v> </v>
      </c>
      <c r="CA55" s="200">
        <f>IFERROR(__xludf.DUMMYFUNCTION("""COMPUTED_VALUE"""),50.0)</f>
        <v>50</v>
      </c>
      <c r="CB55" s="74">
        <f t="shared" si="4"/>
        <v>50</v>
      </c>
      <c r="CC55" s="200"/>
      <c r="CD55" s="243"/>
      <c r="CG55" s="180" t="str">
        <f>IF(CG54="","",CF54)</f>
        <v> </v>
      </c>
      <c r="CH55" s="200" t="s">
        <v>361</v>
      </c>
      <c r="CI55" s="182">
        <f>IFERROR(__xludf.DUMMYFUNCTION("""COMPUTED_VALUE"""),50.0)</f>
        <v>50</v>
      </c>
      <c r="CJ55" s="49" t="s">
        <v>362</v>
      </c>
      <c r="CK55" s="235"/>
      <c r="CL55" s="180" t="str">
        <f>IF(CL54="","",CK54)</f>
        <v> </v>
      </c>
      <c r="CM55" s="49" t="s">
        <v>361</v>
      </c>
      <c r="CN55" s="49">
        <f>IFERROR(__xludf.DUMMYFUNCTION("""COMPUTED_VALUE"""),50.0)</f>
        <v>50</v>
      </c>
      <c r="CQ55" s="180" t="str">
        <f>IF(CQ54="","",CP54)</f>
        <v> </v>
      </c>
      <c r="CR55" s="49" t="s">
        <v>361</v>
      </c>
      <c r="CS55" s="234">
        <f>IFERROR(__xludf.DUMMYFUNCTION("""COMPUTED_VALUE"""),50.0)</f>
        <v>50</v>
      </c>
      <c r="CV55" s="180" t="str">
        <f>IF(CV54="","",CU54)</f>
        <v> </v>
      </c>
      <c r="CW55" s="49" t="s">
        <v>361</v>
      </c>
      <c r="CX55" s="49">
        <f>IFERROR(__xludf.DUMMYFUNCTION("""COMPUTED_VALUE"""),50.0)</f>
        <v>50</v>
      </c>
      <c r="DA55" s="180" t="str">
        <f>IF(DA54="","",CZ54)</f>
        <v> </v>
      </c>
      <c r="DB55" s="49" t="s">
        <v>361</v>
      </c>
      <c r="DC55" s="49">
        <f>IFERROR(__xludf.DUMMYFUNCTION("""COMPUTED_VALUE"""),50.0)</f>
        <v>50</v>
      </c>
      <c r="DD55" s="49" t="s">
        <v>362</v>
      </c>
      <c r="DE55" s="49"/>
      <c r="DF55" s="49"/>
      <c r="DG55" s="49"/>
      <c r="DH55" s="49"/>
    </row>
    <row r="56" ht="13.5" customHeight="1">
      <c r="A56" s="118"/>
      <c r="B56" s="187">
        <v>26.0</v>
      </c>
      <c r="C56" s="188" t="str">
        <f>(VLOOKUP($B56,'Пр.взв'!$D$6:$J$63,2,0))</f>
        <v>РЫБИН Павел</v>
      </c>
      <c r="D56" s="189" t="str">
        <f>(VLOOKUP($B56,'Пр.взв'!$D$6:$J$63,5,0))</f>
        <v>1р</v>
      </c>
      <c r="E56" s="190" t="str">
        <f>(VLOOKUP($B56,'Пр.взв'!$D$6:$M$63,8,0))</f>
        <v>Московская</v>
      </c>
      <c r="F56" s="130">
        <f>B54</f>
        <v>25</v>
      </c>
      <c r="G56" s="131"/>
      <c r="H56" s="132">
        <v>29.0</v>
      </c>
      <c r="I56" s="131"/>
      <c r="J56" s="133" t="str">
        <f>IF(H56="Х","Х",IF($AC56&lt;6," ","Х"))</f>
        <v> </v>
      </c>
      <c r="K56" s="134"/>
      <c r="L56" s="133" t="str">
        <f>IF(J56="Х","Х",IF(K56&lt;3," ",IF($AC56&lt;6," ","Х")))</f>
        <v> </v>
      </c>
      <c r="M56" s="134"/>
      <c r="N56" s="133" t="str">
        <f>IF(L56="Х","Х",IF(M56&lt;3," ",IF($AC56&lt;6," ","Х")))</f>
        <v> </v>
      </c>
      <c r="O56" s="134"/>
      <c r="P56" s="133" t="str">
        <f>IF(N56="Х","Х",IF(O56&lt;3," ",IF($AC56&lt;6," ","Х")))</f>
        <v> </v>
      </c>
      <c r="Q56" s="134"/>
      <c r="R56" s="133" t="str">
        <f>IF(P56="Х","Х",IF(Q56&lt;3," ",IF($AC56&lt;6," ","Х")))</f>
        <v> </v>
      </c>
      <c r="S56" s="134"/>
      <c r="T56" s="133" t="str">
        <f>IF(R56="Х","Х",IF(S56&lt;3," ",IF($AC56&lt;6," ","Х")))</f>
        <v> </v>
      </c>
      <c r="U56" s="135"/>
      <c r="V56" s="133" t="str">
        <f>IF(T56="Х","Х",IF(U56&lt;3," ",IF($AC56&lt;6," ","Х")))</f>
        <v> </v>
      </c>
      <c r="W56" s="135"/>
      <c r="X56" s="133" t="str">
        <f>IF(V56="А1",$AZ$7,IF(V56="Б2",$AZ$6,IF(V56="Б1",$BA$7,IF(V56="А2",$BA$6,IF(V56="Х","Х",IF(V56&lt;6," "," "))))))</f>
        <v> </v>
      </c>
      <c r="Y56" s="136"/>
      <c r="Z56" s="133" t="str">
        <f>IF(V56="Х","Х",IF(ISBLANK(Y56),"",IF(Y56&gt;2.5," ",IF(B56=BB$6,BB$7,BB$6))))</f>
        <v/>
      </c>
      <c r="AA56" s="136"/>
      <c r="AB56" s="240" t="str">
        <f>IF(H56="Х",F$5,IF(J56="Х",H$5,IF(L56="Х",J$5,IF(N56="Х",L$5,IF(P56="Х",N$5,IF(R56="Х",P$5,IF(T56="Х",R$5,IF(X56="Х",T$5,""))))))))</f>
        <v/>
      </c>
      <c r="AC56" s="138">
        <f>SUM(G56+I56+K56+M56+O56+Q56+S56+U56+Y56+AA56)</f>
        <v>0</v>
      </c>
      <c r="AD56" s="241" t="str">
        <f>AF56</f>
        <v>1-54</v>
      </c>
      <c r="AE56" s="140" t="str">
        <f>AD56</f>
        <v>1-54</v>
      </c>
      <c r="AF56" s="141" t="str">
        <f>COUNTIF(AG$6:AG$148,"&gt;"&amp;AG$6:AG$148)+1&amp;REPT("-"&amp;COUNTIF(AG$6:AG$148,"&gt;="&amp;AG$6:AG$148),COUNTIF(AG$6:AG$148,AG56)&gt;1)</f>
        <v>1-54</v>
      </c>
      <c r="AG56" s="142">
        <f>(AR56*100)+(AP56*10)-AC56</f>
        <v>1280</v>
      </c>
      <c r="AH56" s="143" t="str">
        <f>IF(OR(F56="Х",F56="св")," ",IF(AND(G56&gt;=0,G56&lt;3),"1"," "))</f>
        <v>1</v>
      </c>
      <c r="AI56" s="90" t="str">
        <f>IF(OR(H56="Х",H56="св")," ",IF(AND(I56&gt;=0,I56&lt;3),"1"," "))</f>
        <v>1</v>
      </c>
      <c r="AJ56" s="90" t="str">
        <f>IF(OR(J56="Х",J56="св")," ",IF(AND(K56&gt;=0,K56&lt;3),"1"," "))</f>
        <v>1</v>
      </c>
      <c r="AK56" s="90" t="str">
        <f>IF(OR(L56="Х",L56="св")," ",IF(AND(M56&gt;=0,M56&lt;3),"1"," "))</f>
        <v>1</v>
      </c>
      <c r="AL56" s="90" t="str">
        <f>IF(OR(N56="Х",N56="св")," ",IF(AND(O56&gt;=0,O56&lt;3),"1"," "))</f>
        <v>1</v>
      </c>
      <c r="AM56" s="90" t="str">
        <f>IF(OR(P56="Х",P56="св")," ",IF(AND(Q56&gt;=0,Q56&lt;3),"1"," "))</f>
        <v>1</v>
      </c>
      <c r="AN56" s="90" t="str">
        <f>IF(OR(R56="Х",R56="св")," ",IF(AND(S56&gt;=0,S56&lt;3),"1"," "))</f>
        <v>1</v>
      </c>
      <c r="AO56" s="90" t="str">
        <f>IF(OR(T56="Х",T56="св")," ",IF(AND(U56&gt;=0,U56&lt;3),"1"," "))</f>
        <v>1</v>
      </c>
      <c r="AP56" s="90">
        <f>COUNTIF(AH56:AO57,1)</f>
        <v>8</v>
      </c>
      <c r="AQ56" s="90">
        <f>AG56-AC56</f>
        <v>1280</v>
      </c>
      <c r="AR56" s="144">
        <f>IF(F56=0,0,IF(F56="Х",1,IF(H56="Х",2,IF(J56="Х",3,IF(L56="Х",4,IF(N56="Х",5,IF(P56="Х",6,IF(R56="Х",7,IF(T56="Х",8,IF(V56="Х",9,IF(Y56&gt;2.5,10,IF(AA56&gt;2.5,11,IF(AA56&gt;=0,12,IF(AA56=" ",0,))))))))))))))</f>
        <v>12</v>
      </c>
      <c r="AS56" s="90" t="str">
        <f>COUNTIF(AG$6:AG$134,"&gt;"&amp;AG$6:AG$134)+1&amp;REPT("-"&amp;COUNTIF(AG$6:AG$134,"&gt;="&amp;AG$6:AG$134),COUNTIF(AG$6:AG$134,AG56)&gt;1)</f>
        <v>1-54</v>
      </c>
      <c r="AT56" s="143" t="str">
        <f t="shared" ref="AT56:AW56" si="29">COUNTIF(AU$6:AU$134,"&gt;"&amp;AU$6:AU$134)+1&amp;REPT("-"&amp;COUNTIF(AU$6:AU$134,"&gt;="&amp;AU$6:AU$134),COUNTIF(AU$6:AU$134,AU56)&gt;1)</f>
        <v>1-64</v>
      </c>
      <c r="AU56" s="143" t="str">
        <f t="shared" si="29"/>
        <v>1-0</v>
      </c>
      <c r="AV56" s="143" t="str">
        <f t="shared" si="29"/>
        <v>1</v>
      </c>
      <c r="AW56" s="143" t="str">
        <f t="shared" si="29"/>
        <v>39</v>
      </c>
      <c r="AX56" s="145">
        <f>IF(X56="Х","Х",IF(Y56&lt;3,B56,"Х"))</f>
        <v>26</v>
      </c>
      <c r="AY56" s="146">
        <v>46.0</v>
      </c>
      <c r="AZ56" s="146"/>
      <c r="BA56" s="146">
        <v>46.0</v>
      </c>
      <c r="BB56" s="146"/>
      <c r="BC56" s="49">
        <v>46.0</v>
      </c>
      <c r="BD56" s="225">
        <v>45.0</v>
      </c>
      <c r="BE56" s="49">
        <v>46.0</v>
      </c>
      <c r="BF56" s="224">
        <v>45.0</v>
      </c>
      <c r="BG56" s="49">
        <v>46.0</v>
      </c>
      <c r="BH56" s="49">
        <v>46.0</v>
      </c>
      <c r="BI56" s="49"/>
      <c r="BJ56" s="49"/>
      <c r="BK56" s="49"/>
      <c r="BL56" s="49"/>
      <c r="BM56" s="195">
        <v>26.0</v>
      </c>
      <c r="BN56" s="196">
        <v>25.0</v>
      </c>
      <c r="BO56" s="153" t="str">
        <f>IF(BM56&lt;BN56,BM56,"")</f>
        <v/>
      </c>
      <c r="BP56" s="196" t="s">
        <v>362</v>
      </c>
      <c r="BQ56" s="197">
        <f>IFERROR(__xludf.DUMMYFUNCTION("""COMPUTED_VALUE"""),50.0)</f>
        <v>50</v>
      </c>
      <c r="BR56" s="198">
        <v>26.0</v>
      </c>
      <c r="BS56" s="196">
        <v>29.0</v>
      </c>
      <c r="BT56" s="175">
        <f>IF(BR56&lt;BS56,BR56,"")</f>
        <v>26</v>
      </c>
      <c r="BU56" s="196">
        <v>26.0</v>
      </c>
      <c r="BV56" s="196">
        <f>IFERROR(__xludf.DUMMYFUNCTION("""COMPUTED_VALUE"""),50.0)</f>
        <v>50</v>
      </c>
      <c r="BW56" s="199">
        <v>26.0</v>
      </c>
      <c r="BX56" s="74" t="s">
        <v>361</v>
      </c>
      <c r="BY56" s="160">
        <f t="array" ref="BY56">IF(BW56&lt;BX56,BW56,"")</f>
        <v>26</v>
      </c>
      <c r="BZ56" s="160">
        <f t="shared" si="3"/>
        <v>26</v>
      </c>
      <c r="CA56" s="74">
        <f>IFERROR(__xludf.DUMMYFUNCTION("""COMPUTED_VALUE"""),51.0)</f>
        <v>51</v>
      </c>
      <c r="CB56" s="74">
        <f t="shared" si="4"/>
        <v>51</v>
      </c>
      <c r="CC56" s="200"/>
      <c r="CD56" s="243"/>
      <c r="CE56" s="200">
        <v>26.0</v>
      </c>
      <c r="CF56" s="25" t="s">
        <v>361</v>
      </c>
      <c r="CG56" s="153">
        <f t="array" ref="CG56">IF(CE56&lt;CF56,CE56,"")</f>
        <v>26</v>
      </c>
      <c r="CH56" s="74">
        <v>26.0</v>
      </c>
      <c r="CI56" s="182">
        <f>IFERROR(__xludf.DUMMYFUNCTION("""COMPUTED_VALUE"""),51.0)</f>
        <v>51</v>
      </c>
      <c r="CJ56" s="93">
        <v>26.0</v>
      </c>
      <c r="CK56" s="233" t="s">
        <v>361</v>
      </c>
      <c r="CL56" s="153">
        <f t="array" ref="CL56">IF(CJ56&lt;CK56,CJ56,"")</f>
        <v>26</v>
      </c>
      <c r="CM56" s="49">
        <v>26.0</v>
      </c>
      <c r="CN56" s="49">
        <f>IFERROR(__xludf.DUMMYFUNCTION("""COMPUTED_VALUE"""),51.0)</f>
        <v>51</v>
      </c>
      <c r="CO56" s="74">
        <v>26.0</v>
      </c>
      <c r="CP56" s="200" t="s">
        <v>361</v>
      </c>
      <c r="CQ56" s="153">
        <f t="array" ref="CQ56">IF(CO56&lt;CP56,CO56,"")</f>
        <v>26</v>
      </c>
      <c r="CR56" s="93">
        <v>26.0</v>
      </c>
      <c r="CS56" s="234">
        <f>IFERROR(__xludf.DUMMYFUNCTION("""COMPUTED_VALUE"""),51.0)</f>
        <v>51</v>
      </c>
      <c r="CT56" s="200">
        <v>26.0</v>
      </c>
      <c r="CU56" s="74" t="s">
        <v>361</v>
      </c>
      <c r="CV56" s="153">
        <f t="array" ref="CV56">IF(CT56&lt;CU56,CT56,"")</f>
        <v>26</v>
      </c>
      <c r="CW56" s="49">
        <v>26.0</v>
      </c>
      <c r="CX56" s="49">
        <f>IFERROR(__xludf.DUMMYFUNCTION("""COMPUTED_VALUE"""),51.0)</f>
        <v>51</v>
      </c>
      <c r="CY56" s="200">
        <v>26.0</v>
      </c>
      <c r="CZ56" s="74" t="s">
        <v>361</v>
      </c>
      <c r="DA56" s="153">
        <f t="array" ref="DA56">IF(CY56&lt;CZ56,CY56,"")</f>
        <v>26</v>
      </c>
      <c r="DB56" s="49">
        <v>26.0</v>
      </c>
      <c r="DC56" s="49">
        <f>IFERROR(__xludf.DUMMYFUNCTION("""COMPUTED_VALUE"""),51.0)</f>
        <v>51</v>
      </c>
      <c r="DD56" s="49">
        <v>26.0</v>
      </c>
      <c r="DE56" s="49"/>
      <c r="DF56" s="49"/>
      <c r="DG56" s="49"/>
      <c r="DH56" s="49"/>
    </row>
    <row r="57" ht="13.5" customHeight="1">
      <c r="A57" s="118"/>
      <c r="B57" s="165"/>
      <c r="C57" s="165"/>
      <c r="D57" s="165"/>
      <c r="E57" s="165"/>
      <c r="F57" s="166"/>
      <c r="G57" s="167"/>
      <c r="H57" s="168"/>
      <c r="I57" s="167"/>
      <c r="J57" s="168"/>
      <c r="K57" s="167"/>
      <c r="L57" s="168"/>
      <c r="M57" s="167"/>
      <c r="N57" s="168"/>
      <c r="O57" s="167"/>
      <c r="P57" s="168"/>
      <c r="Q57" s="167"/>
      <c r="R57" s="168"/>
      <c r="S57" s="167"/>
      <c r="T57" s="168"/>
      <c r="U57" s="169"/>
      <c r="V57" s="168"/>
      <c r="W57" s="169"/>
      <c r="X57" s="168"/>
      <c r="Y57" s="167"/>
      <c r="Z57" s="168"/>
      <c r="AA57" s="167"/>
      <c r="AB57" s="166"/>
      <c r="AC57" s="165"/>
      <c r="AD57" s="168"/>
      <c r="AE57" s="170"/>
      <c r="AF57" s="171"/>
      <c r="AG57" s="113"/>
      <c r="AH57" s="113"/>
      <c r="AI57" s="113"/>
      <c r="AJ57" s="113"/>
      <c r="AK57" s="113"/>
      <c r="AL57" s="113"/>
      <c r="AM57" s="113"/>
      <c r="AN57" s="113"/>
      <c r="AO57" s="113"/>
      <c r="AP57" s="113"/>
      <c r="AQ57" s="113"/>
      <c r="AR57" s="113"/>
      <c r="AS57" s="113"/>
      <c r="AT57" s="113"/>
      <c r="AU57" s="113"/>
      <c r="AV57" s="113"/>
      <c r="AW57" s="113"/>
      <c r="AY57" s="146">
        <v>47.0</v>
      </c>
      <c r="AZ57" s="146"/>
      <c r="BA57" s="146">
        <v>47.0</v>
      </c>
      <c r="BB57" s="146"/>
      <c r="BC57" s="49">
        <v>47.0</v>
      </c>
      <c r="BD57" s="225">
        <v>46.0</v>
      </c>
      <c r="BE57" s="49">
        <v>47.0</v>
      </c>
      <c r="BF57" s="224">
        <v>46.0</v>
      </c>
      <c r="BG57" s="49">
        <v>47.0</v>
      </c>
      <c r="BH57" s="49">
        <v>47.0</v>
      </c>
      <c r="BI57" s="49"/>
      <c r="BJ57" s="49"/>
      <c r="BK57" s="49"/>
      <c r="BL57" s="49"/>
      <c r="BM57" s="178"/>
      <c r="BO57" s="175" t="str">
        <f>IF(BO56="","",BN56)</f>
        <v/>
      </c>
      <c r="BP57" s="175" t="s">
        <v>362</v>
      </c>
      <c r="BQ57" s="197">
        <f>IFERROR(__xludf.DUMMYFUNCTION("""COMPUTED_VALUE"""),51.0)</f>
        <v>51</v>
      </c>
      <c r="BT57" s="175">
        <f>IF(BT56="","",BS56)</f>
        <v>29</v>
      </c>
      <c r="BU57" s="175">
        <v>29.0</v>
      </c>
      <c r="BV57" s="196">
        <f>IFERROR(__xludf.DUMMYFUNCTION("""COMPUTED_VALUE"""),52.0)</f>
        <v>52</v>
      </c>
      <c r="BW57" s="178"/>
      <c r="BY57" s="160" t="str">
        <f>IF(BY56="","",BX56)</f>
        <v> </v>
      </c>
      <c r="BZ57" s="160" t="str">
        <f t="shared" si="3"/>
        <v> </v>
      </c>
      <c r="CA57" s="200">
        <f>IFERROR(__xludf.DUMMYFUNCTION("""COMPUTED_VALUE"""),52.0)</f>
        <v>52</v>
      </c>
      <c r="CB57" s="74">
        <f t="shared" si="4"/>
        <v>52</v>
      </c>
      <c r="CC57" s="200"/>
      <c r="CD57" s="243"/>
      <c r="CG57" s="180" t="str">
        <f>IF(CG56="","",CF56)</f>
        <v> </v>
      </c>
      <c r="CH57" s="200" t="s">
        <v>361</v>
      </c>
      <c r="CI57" s="182">
        <f>IFERROR(__xludf.DUMMYFUNCTION("""COMPUTED_VALUE"""),52.0)</f>
        <v>52</v>
      </c>
      <c r="CJ57" s="49" t="s">
        <v>362</v>
      </c>
      <c r="CK57" s="235"/>
      <c r="CL57" s="180" t="str">
        <f>IF(CL56="","",CK56)</f>
        <v> </v>
      </c>
      <c r="CM57" s="49" t="s">
        <v>361</v>
      </c>
      <c r="CN57" s="49">
        <f>IFERROR(__xludf.DUMMYFUNCTION("""COMPUTED_VALUE"""),52.0)</f>
        <v>52</v>
      </c>
      <c r="CQ57" s="180" t="str">
        <f>IF(CQ56="","",CP56)</f>
        <v> </v>
      </c>
      <c r="CR57" s="49" t="s">
        <v>361</v>
      </c>
      <c r="CS57" s="234">
        <f>IFERROR(__xludf.DUMMYFUNCTION("""COMPUTED_VALUE"""),52.0)</f>
        <v>52</v>
      </c>
      <c r="CV57" s="180" t="str">
        <f>IF(CV56="","",CU56)</f>
        <v> </v>
      </c>
      <c r="CW57" s="49" t="s">
        <v>361</v>
      </c>
      <c r="CX57" s="49">
        <f>IFERROR(__xludf.DUMMYFUNCTION("""COMPUTED_VALUE"""),52.0)</f>
        <v>52</v>
      </c>
      <c r="DA57" s="180" t="str">
        <f>IF(DA56="","",CZ56)</f>
        <v> </v>
      </c>
      <c r="DB57" s="49" t="s">
        <v>361</v>
      </c>
      <c r="DC57" s="49">
        <f>IFERROR(__xludf.DUMMYFUNCTION("""COMPUTED_VALUE"""),52.0)</f>
        <v>52</v>
      </c>
      <c r="DD57" s="49" t="s">
        <v>362</v>
      </c>
      <c r="DE57" s="49"/>
      <c r="DF57" s="49"/>
      <c r="DG57" s="49"/>
      <c r="DH57" s="49"/>
    </row>
    <row r="58" ht="13.5" customHeight="1">
      <c r="A58" s="118"/>
      <c r="B58" s="187">
        <v>27.0</v>
      </c>
      <c r="C58" s="188" t="str">
        <f>(VLOOKUP($B58,'Пр.взв'!$D$6:$J$63,2,0))</f>
        <v>МОКРУШНИКОВ Даниил</v>
      </c>
      <c r="D58" s="189" t="str">
        <f>(VLOOKUP($B58,'Пр.взв'!$D$6:$J$63,5,0))</f>
        <v>КМС</v>
      </c>
      <c r="E58" s="190" t="str">
        <f>(VLOOKUP($B58,'Пр.взв'!$D$6:$M$63,8,0))</f>
        <v>Свердловская</v>
      </c>
      <c r="F58" s="130">
        <f>B60</f>
        <v>28</v>
      </c>
      <c r="G58" s="131"/>
      <c r="H58" s="132">
        <v>25.0</v>
      </c>
      <c r="I58" s="131"/>
      <c r="J58" s="133" t="str">
        <f>IF(H58="Х","Х",IF($AC58&lt;6," ","Х"))</f>
        <v> </v>
      </c>
      <c r="K58" s="134"/>
      <c r="L58" s="133" t="str">
        <f>IF(J58="Х","Х",IF(K58&lt;3," ",IF($AC58&lt;6," ","Х")))</f>
        <v> </v>
      </c>
      <c r="M58" s="134"/>
      <c r="N58" s="133" t="str">
        <f>IF(L58="Х","Х",IF(M58&lt;3," ",IF($AC58&lt;6," ","Х")))</f>
        <v> </v>
      </c>
      <c r="O58" s="134"/>
      <c r="P58" s="133" t="str">
        <f>IF(N58="Х","Х",IF(O58&lt;3," ",IF($AC58&lt;6," ","Х")))</f>
        <v> </v>
      </c>
      <c r="Q58" s="134"/>
      <c r="R58" s="133" t="str">
        <f>IF(P58="Х","Х",IF(Q58&lt;3," ",IF($AC58&lt;6," ","Х")))</f>
        <v> </v>
      </c>
      <c r="S58" s="134"/>
      <c r="T58" s="133" t="str">
        <f>IF(R58="Х","Х",IF(S58&lt;3," ",IF($AC58&lt;6," ","Х")))</f>
        <v> </v>
      </c>
      <c r="U58" s="135"/>
      <c r="V58" s="133" t="str">
        <f>IF(T58="Х","Х",IF(U58&lt;3," ",IF($AC58&lt;6," ","Х")))</f>
        <v> </v>
      </c>
      <c r="W58" s="135"/>
      <c r="X58" s="133" t="str">
        <f>IF(V58="А1",$AZ$7,IF(V58="Б2",$AZ$6,IF(V58="Б1",$BA$7,IF(V58="А2",$BA$6,IF(V58="Х","Х",IF(V58&lt;6," "," "))))))</f>
        <v> </v>
      </c>
      <c r="Y58" s="136"/>
      <c r="Z58" s="133" t="str">
        <f>IF(V58="Х","Х",IF(ISBLANK(Y58),"",IF(Y58&gt;2.5," ",IF(B58=BB$6,BB$7,BB$6))))</f>
        <v/>
      </c>
      <c r="AA58" s="136"/>
      <c r="AB58" s="240" t="str">
        <f>IF(H58="Х",F$5,IF(J58="Х",H$5,IF(L58="Х",J$5,IF(N58="Х",L$5,IF(P58="Х",N$5,IF(R58="Х",P$5,IF(T58="Х",R$5,IF(X58="Х",T$5,""))))))))</f>
        <v/>
      </c>
      <c r="AC58" s="138">
        <f>SUM(G58+I58+K58+M58+O58+Q58+S58+U58+Y58+AA58)</f>
        <v>0</v>
      </c>
      <c r="AD58" s="241" t="str">
        <f>AF58</f>
        <v>1-54</v>
      </c>
      <c r="AE58" s="140" t="str">
        <f>AD58</f>
        <v>1-54</v>
      </c>
      <c r="AF58" s="141" t="str">
        <f>COUNTIF(AG$6:AG$148,"&gt;"&amp;AG$6:AG$148)+1&amp;REPT("-"&amp;COUNTIF(AG$6:AG$148,"&gt;="&amp;AG$6:AG$148),COUNTIF(AG$6:AG$148,AG58)&gt;1)</f>
        <v>1-54</v>
      </c>
      <c r="AG58" s="142">
        <f>(AR58*100)+(AP58*10)-AC58</f>
        <v>1280</v>
      </c>
      <c r="AH58" s="143" t="str">
        <f>IF(OR(F58="Х",F58="св")," ",IF(AND(G58&gt;=0,G58&lt;3),"1"," "))</f>
        <v>1</v>
      </c>
      <c r="AI58" s="90" t="str">
        <f>IF(OR(H58="Х",H58="св")," ",IF(AND(I58&gt;=0,I58&lt;3),"1"," "))</f>
        <v>1</v>
      </c>
      <c r="AJ58" s="90" t="str">
        <f>IF(OR(J58="Х",J58="св")," ",IF(AND(K58&gt;=0,K58&lt;3),"1"," "))</f>
        <v>1</v>
      </c>
      <c r="AK58" s="90" t="str">
        <f>IF(OR(L58="Х",L58="св")," ",IF(AND(M58&gt;=0,M58&lt;3),"1"," "))</f>
        <v>1</v>
      </c>
      <c r="AL58" s="90" t="str">
        <f>IF(OR(N58="Х",N58="св")," ",IF(AND(O58&gt;=0,O58&lt;3),"1"," "))</f>
        <v>1</v>
      </c>
      <c r="AM58" s="90" t="str">
        <f>IF(OR(P58="Х",P58="св")," ",IF(AND(Q58&gt;=0,Q58&lt;3),"1"," "))</f>
        <v>1</v>
      </c>
      <c r="AN58" s="90" t="str">
        <f>IF(OR(R58="Х",R58="св")," ",IF(AND(S58&gt;=0,S58&lt;3),"1"," "))</f>
        <v>1</v>
      </c>
      <c r="AO58" s="90" t="str">
        <f>IF(OR(T58="Х",T58="св")," ",IF(AND(U58&gt;=0,U58&lt;3),"1"," "))</f>
        <v>1</v>
      </c>
      <c r="AP58" s="90">
        <f>COUNTIF(AH58:AO59,1)</f>
        <v>8</v>
      </c>
      <c r="AQ58" s="90">
        <f>AG58-AC58</f>
        <v>1280</v>
      </c>
      <c r="AR58" s="144">
        <f>IF(F58=0,0,IF(F58="Х",1,IF(H58="Х",2,IF(J58="Х",3,IF(L58="Х",4,IF(N58="Х",5,IF(P58="Х",6,IF(R58="Х",7,IF(T58="Х",8,IF(V58="Х",9,IF(Y58&gt;2.5,10,IF(AA58&gt;2.5,11,IF(AA58&gt;=0,12,IF(AA58=" ",0,))))))))))))))</f>
        <v>12</v>
      </c>
      <c r="AS58" s="90" t="str">
        <f>COUNTIF(AG$6:AG$134,"&gt;"&amp;AG$6:AG$134)+1&amp;REPT("-"&amp;COUNTIF(AG$6:AG$134,"&gt;="&amp;AG$6:AG$134),COUNTIF(AG$6:AG$134,AG58)&gt;1)</f>
        <v>1-54</v>
      </c>
      <c r="AT58" s="143" t="str">
        <f t="shared" ref="AT58:AW58" si="30">COUNTIF(AU$6:AU$134,"&gt;"&amp;AU$6:AU$134)+1&amp;REPT("-"&amp;COUNTIF(AU$6:AU$134,"&gt;="&amp;AU$6:AU$134),COUNTIF(AU$6:AU$134,AU58)&gt;1)</f>
        <v>1-64</v>
      </c>
      <c r="AU58" s="143" t="str">
        <f t="shared" si="30"/>
        <v>1-0</v>
      </c>
      <c r="AV58" s="143" t="str">
        <f t="shared" si="30"/>
        <v>1</v>
      </c>
      <c r="AW58" s="143" t="str">
        <f t="shared" si="30"/>
        <v>38</v>
      </c>
      <c r="AX58" s="145">
        <f>IF(X58="Х","Х",IF(Y58&lt;3,B58,"Х"))</f>
        <v>27</v>
      </c>
      <c r="AY58" s="146">
        <v>48.0</v>
      </c>
      <c r="AZ58" s="146"/>
      <c r="BA58" s="146">
        <v>48.0</v>
      </c>
      <c r="BB58" s="146"/>
      <c r="BC58" s="49">
        <v>48.0</v>
      </c>
      <c r="BD58" s="225">
        <v>47.0</v>
      </c>
      <c r="BE58" s="49">
        <v>48.0</v>
      </c>
      <c r="BF58" s="224">
        <v>48.0</v>
      </c>
      <c r="BG58" s="49">
        <v>48.0</v>
      </c>
      <c r="BH58" s="49">
        <v>48.0</v>
      </c>
      <c r="BI58" s="49"/>
      <c r="BJ58" s="49"/>
      <c r="BK58" s="49"/>
      <c r="BL58" s="49"/>
      <c r="BM58" s="195">
        <v>27.0</v>
      </c>
      <c r="BN58" s="196">
        <v>28.0</v>
      </c>
      <c r="BO58" s="153">
        <f>IF(BM58&lt;BN58,BM58,"")</f>
        <v>27</v>
      </c>
      <c r="BP58" s="196">
        <v>27.0</v>
      </c>
      <c r="BQ58" s="197">
        <f>IFERROR(__xludf.DUMMYFUNCTION("""COMPUTED_VALUE"""),52.0)</f>
        <v>52</v>
      </c>
      <c r="BR58" s="198">
        <v>27.0</v>
      </c>
      <c r="BS58" s="196">
        <v>25.0</v>
      </c>
      <c r="BT58" s="175" t="str">
        <f>IF(BR58&lt;BS58,BR58,"")</f>
        <v/>
      </c>
      <c r="BU58" s="196" t="s">
        <v>362</v>
      </c>
      <c r="BV58" s="196">
        <f>IFERROR(__xludf.DUMMYFUNCTION("""COMPUTED_VALUE"""),51.0)</f>
        <v>51</v>
      </c>
      <c r="BW58" s="199">
        <v>27.0</v>
      </c>
      <c r="BX58" s="74" t="s">
        <v>361</v>
      </c>
      <c r="BY58" s="160">
        <f t="array" ref="BY58">IF(BW58&lt;BX58,BW58,"")</f>
        <v>27</v>
      </c>
      <c r="BZ58" s="160">
        <f t="shared" si="3"/>
        <v>27</v>
      </c>
      <c r="CA58" s="74">
        <f>IFERROR(__xludf.DUMMYFUNCTION("""COMPUTED_VALUE"""),53.0)</f>
        <v>53</v>
      </c>
      <c r="CB58" s="74">
        <f t="shared" si="4"/>
        <v>53</v>
      </c>
      <c r="CC58" s="200"/>
      <c r="CD58" s="243"/>
      <c r="CE58" s="200">
        <v>27.0</v>
      </c>
      <c r="CF58" s="25" t="s">
        <v>361</v>
      </c>
      <c r="CG58" s="153">
        <f t="array" ref="CG58">IF(CE58&lt;CF58,CE58,"")</f>
        <v>27</v>
      </c>
      <c r="CH58" s="74">
        <v>27.0</v>
      </c>
      <c r="CI58" s="182">
        <f>IFERROR(__xludf.DUMMYFUNCTION("""COMPUTED_VALUE"""),53.0)</f>
        <v>53</v>
      </c>
      <c r="CJ58" s="93">
        <v>27.0</v>
      </c>
      <c r="CK58" s="233" t="s">
        <v>361</v>
      </c>
      <c r="CL58" s="153">
        <f t="array" ref="CL58">IF(CJ58&lt;CK58,CJ58,"")</f>
        <v>27</v>
      </c>
      <c r="CM58" s="49">
        <v>27.0</v>
      </c>
      <c r="CN58" s="49">
        <f>IFERROR(__xludf.DUMMYFUNCTION("""COMPUTED_VALUE"""),53.0)</f>
        <v>53</v>
      </c>
      <c r="CO58" s="74">
        <v>27.0</v>
      </c>
      <c r="CP58" s="200" t="s">
        <v>361</v>
      </c>
      <c r="CQ58" s="153">
        <f t="array" ref="CQ58">IF(CO58&lt;CP58,CO58,"")</f>
        <v>27</v>
      </c>
      <c r="CR58" s="93">
        <v>27.0</v>
      </c>
      <c r="CS58" s="234">
        <f>IFERROR(__xludf.DUMMYFUNCTION("""COMPUTED_VALUE"""),53.0)</f>
        <v>53</v>
      </c>
      <c r="CT58" s="200">
        <v>27.0</v>
      </c>
      <c r="CU58" s="74" t="s">
        <v>361</v>
      </c>
      <c r="CV58" s="153">
        <f t="array" ref="CV58">IF(CT58&lt;CU58,CT58,"")</f>
        <v>27</v>
      </c>
      <c r="CW58" s="49">
        <v>27.0</v>
      </c>
      <c r="CX58" s="49">
        <f>IFERROR(__xludf.DUMMYFUNCTION("""COMPUTED_VALUE"""),53.0)</f>
        <v>53</v>
      </c>
      <c r="CY58" s="200">
        <v>27.0</v>
      </c>
      <c r="CZ58" s="74" t="s">
        <v>361</v>
      </c>
      <c r="DA58" s="153">
        <f t="array" ref="DA58">IF(CY58&lt;CZ58,CY58,"")</f>
        <v>27</v>
      </c>
      <c r="DB58" s="49">
        <v>27.0</v>
      </c>
      <c r="DC58" s="49">
        <f>IFERROR(__xludf.DUMMYFUNCTION("""COMPUTED_VALUE"""),53.0)</f>
        <v>53</v>
      </c>
      <c r="DD58" s="49">
        <v>27.0</v>
      </c>
      <c r="DE58" s="49"/>
      <c r="DF58" s="49"/>
      <c r="DG58" s="49"/>
      <c r="DH58" s="49"/>
    </row>
    <row r="59" ht="13.5" customHeight="1">
      <c r="A59" s="118"/>
      <c r="B59" s="165"/>
      <c r="C59" s="165"/>
      <c r="D59" s="165"/>
      <c r="E59" s="165"/>
      <c r="F59" s="166"/>
      <c r="G59" s="167"/>
      <c r="H59" s="168"/>
      <c r="I59" s="167"/>
      <c r="J59" s="168"/>
      <c r="K59" s="167"/>
      <c r="L59" s="168"/>
      <c r="M59" s="167"/>
      <c r="N59" s="168"/>
      <c r="O59" s="167"/>
      <c r="P59" s="168"/>
      <c r="Q59" s="167"/>
      <c r="R59" s="168"/>
      <c r="S59" s="167"/>
      <c r="T59" s="168"/>
      <c r="U59" s="169"/>
      <c r="V59" s="168"/>
      <c r="W59" s="169"/>
      <c r="X59" s="168"/>
      <c r="Y59" s="167"/>
      <c r="Z59" s="168"/>
      <c r="AA59" s="167"/>
      <c r="AB59" s="166"/>
      <c r="AC59" s="165"/>
      <c r="AD59" s="168"/>
      <c r="AE59" s="170"/>
      <c r="AF59" s="171"/>
      <c r="AG59" s="113"/>
      <c r="AH59" s="113"/>
      <c r="AI59" s="113"/>
      <c r="AJ59" s="113"/>
      <c r="AK59" s="113"/>
      <c r="AL59" s="113"/>
      <c r="AM59" s="113"/>
      <c r="AN59" s="113"/>
      <c r="AO59" s="113"/>
      <c r="AP59" s="113"/>
      <c r="AQ59" s="113"/>
      <c r="AR59" s="113"/>
      <c r="AS59" s="113"/>
      <c r="AT59" s="113"/>
      <c r="AU59" s="113"/>
      <c r="AV59" s="113"/>
      <c r="AW59" s="113"/>
      <c r="AY59" s="146">
        <v>49.0</v>
      </c>
      <c r="AZ59" s="146"/>
      <c r="BA59" s="146">
        <v>49.0</v>
      </c>
      <c r="BB59" s="146"/>
      <c r="BC59" s="49">
        <v>49.0</v>
      </c>
      <c r="BD59" s="225">
        <v>48.0</v>
      </c>
      <c r="BE59" s="49">
        <v>49.0</v>
      </c>
      <c r="BF59" s="224">
        <v>47.0</v>
      </c>
      <c r="BG59" s="49">
        <v>49.0</v>
      </c>
      <c r="BH59" s="49">
        <v>49.0</v>
      </c>
      <c r="BI59" s="49"/>
      <c r="BJ59" s="49"/>
      <c r="BK59" s="49"/>
      <c r="BL59" s="49"/>
      <c r="BM59" s="178"/>
      <c r="BO59" s="175">
        <f>IF(BO58="","",BN58)</f>
        <v>28</v>
      </c>
      <c r="BP59" s="175">
        <v>28.0</v>
      </c>
      <c r="BQ59" s="197">
        <f>IFERROR(__xludf.DUMMYFUNCTION("""COMPUTED_VALUE"""),53.0)</f>
        <v>53</v>
      </c>
      <c r="BT59" s="175" t="str">
        <f>IF(BT58="","",BS58)</f>
        <v/>
      </c>
      <c r="BU59" s="175" t="s">
        <v>362</v>
      </c>
      <c r="BV59" s="196">
        <f>IFERROR(__xludf.DUMMYFUNCTION("""COMPUTED_VALUE"""),53.0)</f>
        <v>53</v>
      </c>
      <c r="BW59" s="178"/>
      <c r="BY59" s="160" t="str">
        <f>IF(BY58="","",BX58)</f>
        <v> </v>
      </c>
      <c r="BZ59" s="160" t="str">
        <f t="shared" si="3"/>
        <v> </v>
      </c>
      <c r="CA59" s="200">
        <f>IFERROR(__xludf.DUMMYFUNCTION("""COMPUTED_VALUE"""),54.0)</f>
        <v>54</v>
      </c>
      <c r="CB59" s="74">
        <f t="shared" si="4"/>
        <v>54</v>
      </c>
      <c r="CC59" s="200"/>
      <c r="CD59" s="243"/>
      <c r="CG59" s="180" t="str">
        <f>IF(CG58="","",CF58)</f>
        <v> </v>
      </c>
      <c r="CH59" s="200" t="s">
        <v>361</v>
      </c>
      <c r="CI59" s="182">
        <f>IFERROR(__xludf.DUMMYFUNCTION("""COMPUTED_VALUE"""),54.0)</f>
        <v>54</v>
      </c>
      <c r="CJ59" s="49" t="s">
        <v>362</v>
      </c>
      <c r="CK59" s="235"/>
      <c r="CL59" s="180" t="str">
        <f>IF(CL58="","",CK58)</f>
        <v> </v>
      </c>
      <c r="CM59" s="49" t="s">
        <v>361</v>
      </c>
      <c r="CN59" s="49">
        <f>IFERROR(__xludf.DUMMYFUNCTION("""COMPUTED_VALUE"""),54.0)</f>
        <v>54</v>
      </c>
      <c r="CQ59" s="180" t="str">
        <f>IF(CQ58="","",CP58)</f>
        <v> </v>
      </c>
      <c r="CR59" s="49" t="s">
        <v>361</v>
      </c>
      <c r="CS59" s="234">
        <f>IFERROR(__xludf.DUMMYFUNCTION("""COMPUTED_VALUE"""),54.0)</f>
        <v>54</v>
      </c>
      <c r="CV59" s="180" t="str">
        <f>IF(CV58="","",CU58)</f>
        <v> </v>
      </c>
      <c r="CW59" s="49" t="s">
        <v>361</v>
      </c>
      <c r="CX59" s="49">
        <f>IFERROR(__xludf.DUMMYFUNCTION("""COMPUTED_VALUE"""),54.0)</f>
        <v>54</v>
      </c>
      <c r="DA59" s="180" t="str">
        <f>IF(DA58="","",CZ58)</f>
        <v> </v>
      </c>
      <c r="DB59" s="49" t="s">
        <v>361</v>
      </c>
      <c r="DC59" s="49">
        <f>IFERROR(__xludf.DUMMYFUNCTION("""COMPUTED_VALUE"""),54.0)</f>
        <v>54</v>
      </c>
      <c r="DD59" s="49" t="s">
        <v>362</v>
      </c>
      <c r="DE59" s="49"/>
      <c r="DF59" s="49"/>
      <c r="DG59" s="49"/>
      <c r="DH59" s="49"/>
    </row>
    <row r="60" ht="13.5" customHeight="1">
      <c r="A60" s="118"/>
      <c r="B60" s="187">
        <v>28.0</v>
      </c>
      <c r="C60" s="188" t="str">
        <f>(VLOOKUP($B60,'Пр.взв'!$D$6:$J$63,2,0))</f>
        <v>МЕЛКОНЯН  Аршак</v>
      </c>
      <c r="D60" s="189" t="str">
        <f>(VLOOKUP($B60,'Пр.взв'!$D$6:$J$63,5,0))</f>
        <v>КМС</v>
      </c>
      <c r="E60" s="190" t="str">
        <f>(VLOOKUP($B60,'Пр.взв'!$D$6:$M$63,8,0))</f>
        <v>Амурская</v>
      </c>
      <c r="F60" s="130">
        <f>B58</f>
        <v>27</v>
      </c>
      <c r="G60" s="131"/>
      <c r="H60" s="132" t="s">
        <v>364</v>
      </c>
      <c r="I60" s="131"/>
      <c r="J60" s="133" t="str">
        <f>IF(H60="Х","Х",IF($AC60&lt;6," ","Х"))</f>
        <v> </v>
      </c>
      <c r="K60" s="134"/>
      <c r="L60" s="133" t="str">
        <f>IF(J60="Х","Х",IF(K60&lt;3," ",IF($AC60&lt;6," ","Х")))</f>
        <v> </v>
      </c>
      <c r="M60" s="134"/>
      <c r="N60" s="133" t="str">
        <f>IF(L60="Х","Х",IF(M60&lt;3," ",IF($AC60&lt;6," ","Х")))</f>
        <v> </v>
      </c>
      <c r="O60" s="134"/>
      <c r="P60" s="133" t="str">
        <f>IF(N60="Х","Х",IF(O60&lt;3," ",IF($AC60&lt;6," ","Х")))</f>
        <v> </v>
      </c>
      <c r="Q60" s="134"/>
      <c r="R60" s="133" t="str">
        <f>IF(P60="Х","Х",IF(Q60&lt;3," ",IF($AC60&lt;6," ","Х")))</f>
        <v> </v>
      </c>
      <c r="S60" s="134"/>
      <c r="T60" s="133" t="str">
        <f>IF(R60="Х","Х",IF(S60&lt;3," ",IF($AC60&lt;6," ","Х")))</f>
        <v> </v>
      </c>
      <c r="U60" s="135"/>
      <c r="V60" s="133" t="str">
        <f>IF(T60="Х","Х",IF(U60&lt;3," ",IF($AC60&lt;6," ","Х")))</f>
        <v> </v>
      </c>
      <c r="W60" s="135"/>
      <c r="X60" s="133" t="str">
        <f>IF(V60="А1",$AZ$7,IF(V60="Б2",$AZ$6,IF(V60="Б1",$BA$7,IF(V60="А2",$BA$6,IF(V60="Х","Х",IF(V60&lt;6," "," "))))))</f>
        <v> </v>
      </c>
      <c r="Y60" s="136"/>
      <c r="Z60" s="133" t="str">
        <f>IF(V60="Х","Х",IF(ISBLANK(Y60),"",IF(Y60&gt;2.5," ",IF(B60=BB$6,BB$7,BB$6))))</f>
        <v/>
      </c>
      <c r="AA60" s="136"/>
      <c r="AB60" s="240" t="str">
        <f>IF(H60="Х",F$5,IF(J60="Х",H$5,IF(L60="Х",J$5,IF(N60="Х",L$5,IF(P60="Х",N$5,IF(R60="Х",P$5,IF(T60="Х",R$5,IF(X60="Х",T$5,""))))))))</f>
        <v/>
      </c>
      <c r="AC60" s="138">
        <f>SUM(G60+I60+K60+M60+O60+Q60+S60+U60+Y60+AA60)</f>
        <v>0</v>
      </c>
      <c r="AD60" s="241" t="str">
        <f>AF60</f>
        <v>55-58</v>
      </c>
      <c r="AE60" s="140" t="str">
        <f>AD60</f>
        <v>55-58</v>
      </c>
      <c r="AF60" s="141" t="str">
        <f>COUNTIF(AG$6:AG$148,"&gt;"&amp;AG$6:AG$148)+1&amp;REPT("-"&amp;COUNTIF(AG$6:AG$148,"&gt;="&amp;AG$6:AG$148),COUNTIF(AG$6:AG$148,AG60)&gt;1)</f>
        <v>55-58</v>
      </c>
      <c r="AG60" s="142">
        <f>(AR60*100)+(AP60*10)-AC60</f>
        <v>1270</v>
      </c>
      <c r="AH60" s="143" t="str">
        <f>IF(OR(F60="Х",F60="св")," ",IF(AND(G60&gt;=0,G60&lt;3),"1"," "))</f>
        <v>1</v>
      </c>
      <c r="AI60" s="90" t="str">
        <f>IF(OR(H60="Х",H60="св")," ",IF(AND(I60&gt;=0,I60&lt;3),"1"," "))</f>
        <v> </v>
      </c>
      <c r="AJ60" s="90" t="str">
        <f>IF(OR(J60="Х",J60="св")," ",IF(AND(K60&gt;=0,K60&lt;3),"1"," "))</f>
        <v>1</v>
      </c>
      <c r="AK60" s="90" t="str">
        <f>IF(OR(L60="Х",L60="св")," ",IF(AND(M60&gt;=0,M60&lt;3),"1"," "))</f>
        <v>1</v>
      </c>
      <c r="AL60" s="90" t="str">
        <f>IF(OR(N60="Х",N60="св")," ",IF(AND(O60&gt;=0,O60&lt;3),"1"," "))</f>
        <v>1</v>
      </c>
      <c r="AM60" s="90" t="str">
        <f>IF(OR(P60="Х",P60="св")," ",IF(AND(Q60&gt;=0,Q60&lt;3),"1"," "))</f>
        <v>1</v>
      </c>
      <c r="AN60" s="90" t="str">
        <f>IF(OR(R60="Х",R60="св")," ",IF(AND(S60&gt;=0,S60&lt;3),"1"," "))</f>
        <v>1</v>
      </c>
      <c r="AO60" s="90" t="str">
        <f>IF(OR(T60="Х",T60="св")," ",IF(AND(U60&gt;=0,U60&lt;3),"1"," "))</f>
        <v>1</v>
      </c>
      <c r="AP60" s="90">
        <f>COUNTIF(AH60:AO61,1)</f>
        <v>7</v>
      </c>
      <c r="AQ60" s="90">
        <f>AG60-AC60</f>
        <v>1270</v>
      </c>
      <c r="AR60" s="144">
        <f>IF(F60=0,0,IF(F60="Х",1,IF(H60="Х",2,IF(J60="Х",3,IF(L60="Х",4,IF(N60="Х",5,IF(P60="Х",6,IF(R60="Х",7,IF(T60="Х",8,IF(V60="Х",9,IF(Y60&gt;2.5,10,IF(AA60&gt;2.5,11,IF(AA60&gt;=0,12,IF(AA60=" ",0,))))))))))))))</f>
        <v>12</v>
      </c>
      <c r="AS60" s="90" t="str">
        <f>COUNTIF(AG$6:AG$134,"&gt;"&amp;AG$6:AG$134)+1&amp;REPT("-"&amp;COUNTIF(AG$6:AG$134,"&gt;="&amp;AG$6:AG$134),COUNTIF(AG$6:AG$134,AG60)&gt;1)</f>
        <v>55-58</v>
      </c>
      <c r="AT60" s="143" t="str">
        <f t="shared" ref="AT60:AW60" si="31">COUNTIF(AU$6:AU$134,"&gt;"&amp;AU$6:AU$134)+1&amp;REPT("-"&amp;COUNTIF(AU$6:AU$134,"&gt;="&amp;AU$6:AU$134),COUNTIF(AU$6:AU$134,AU60)&gt;1)</f>
        <v>1-64</v>
      </c>
      <c r="AU60" s="143" t="str">
        <f t="shared" si="31"/>
        <v>1-0</v>
      </c>
      <c r="AV60" s="143" t="str">
        <f t="shared" si="31"/>
        <v>1</v>
      </c>
      <c r="AW60" s="143" t="str">
        <f t="shared" si="31"/>
        <v>37</v>
      </c>
      <c r="AX60" s="145">
        <f>IF(X60="Х","Х",IF(Y60&lt;3,B60,"Х"))</f>
        <v>28</v>
      </c>
      <c r="AY60" s="146">
        <v>50.0</v>
      </c>
      <c r="AZ60" s="146"/>
      <c r="BA60" s="146">
        <v>50.0</v>
      </c>
      <c r="BB60" s="146"/>
      <c r="BC60" s="49">
        <v>50.0</v>
      </c>
      <c r="BD60" s="225">
        <v>49.0</v>
      </c>
      <c r="BE60" s="49">
        <v>50.0</v>
      </c>
      <c r="BF60" s="224">
        <v>49.0</v>
      </c>
      <c r="BG60" s="49">
        <v>50.0</v>
      </c>
      <c r="BH60" s="49">
        <v>50.0</v>
      </c>
      <c r="BI60" s="49"/>
      <c r="BJ60" s="49"/>
      <c r="BK60" s="49"/>
      <c r="BL60" s="49"/>
      <c r="BM60" s="195">
        <v>28.0</v>
      </c>
      <c r="BN60" s="196">
        <v>27.0</v>
      </c>
      <c r="BO60" s="153" t="str">
        <f>IF(BM60&lt;BN60,BM60,"")</f>
        <v/>
      </c>
      <c r="BP60" s="196" t="s">
        <v>362</v>
      </c>
      <c r="BQ60" s="197">
        <f>IFERROR(__xludf.DUMMYFUNCTION("""COMPUTED_VALUE"""),54.0)</f>
        <v>54</v>
      </c>
      <c r="BR60" s="198">
        <v>28.0</v>
      </c>
      <c r="BS60" s="196" t="s">
        <v>364</v>
      </c>
      <c r="BT60" s="175">
        <f>IF(BR60&lt;BS60,BR60,"")</f>
        <v>28</v>
      </c>
      <c r="BU60" s="196">
        <v>28.0</v>
      </c>
      <c r="BV60" s="196">
        <f>IFERROR(__xludf.DUMMYFUNCTION("""COMPUTED_VALUE"""),54.0)</f>
        <v>54</v>
      </c>
      <c r="BW60" s="199">
        <v>28.0</v>
      </c>
      <c r="BX60" s="74" t="s">
        <v>361</v>
      </c>
      <c r="BY60" s="160">
        <f t="array" ref="BY60">IF(BW60&lt;BX60,BW60,"")</f>
        <v>28</v>
      </c>
      <c r="BZ60" s="160">
        <f t="shared" si="3"/>
        <v>28</v>
      </c>
      <c r="CA60" s="74">
        <f>IFERROR(__xludf.DUMMYFUNCTION("""COMPUTED_VALUE"""),55.0)</f>
        <v>55</v>
      </c>
      <c r="CB60" s="74">
        <f t="shared" si="4"/>
        <v>55</v>
      </c>
      <c r="CC60" s="200"/>
      <c r="CD60" s="243"/>
      <c r="CE60" s="200">
        <v>28.0</v>
      </c>
      <c r="CF60" s="25" t="s">
        <v>361</v>
      </c>
      <c r="CG60" s="153">
        <f t="array" ref="CG60">IF(CE60&lt;CF60,CE60,"")</f>
        <v>28</v>
      </c>
      <c r="CH60" s="74">
        <v>28.0</v>
      </c>
      <c r="CI60" s="182">
        <f>IFERROR(__xludf.DUMMYFUNCTION("""COMPUTED_VALUE"""),55.0)</f>
        <v>55</v>
      </c>
      <c r="CJ60" s="93">
        <v>28.0</v>
      </c>
      <c r="CK60" s="233" t="s">
        <v>361</v>
      </c>
      <c r="CL60" s="153">
        <f t="array" ref="CL60">IF(CJ60&lt;CK60,CJ60,"")</f>
        <v>28</v>
      </c>
      <c r="CM60" s="49">
        <v>28.0</v>
      </c>
      <c r="CN60" s="49">
        <f>IFERROR(__xludf.DUMMYFUNCTION("""COMPUTED_VALUE"""),55.0)</f>
        <v>55</v>
      </c>
      <c r="CO60" s="74">
        <v>28.0</v>
      </c>
      <c r="CP60" s="200" t="s">
        <v>361</v>
      </c>
      <c r="CQ60" s="153">
        <f t="array" ref="CQ60">IF(CO60&lt;CP60,CO60,"")</f>
        <v>28</v>
      </c>
      <c r="CR60" s="93">
        <v>28.0</v>
      </c>
      <c r="CS60" s="234">
        <f>IFERROR(__xludf.DUMMYFUNCTION("""COMPUTED_VALUE"""),55.0)</f>
        <v>55</v>
      </c>
      <c r="CT60" s="200">
        <v>28.0</v>
      </c>
      <c r="CU60" s="74" t="s">
        <v>361</v>
      </c>
      <c r="CV60" s="153">
        <f t="array" ref="CV60">IF(CT60&lt;CU60,CT60,"")</f>
        <v>28</v>
      </c>
      <c r="CW60" s="49">
        <v>28.0</v>
      </c>
      <c r="CX60" s="49">
        <f>IFERROR(__xludf.DUMMYFUNCTION("""COMPUTED_VALUE"""),55.0)</f>
        <v>55</v>
      </c>
      <c r="CY60" s="200">
        <v>28.0</v>
      </c>
      <c r="CZ60" s="74" t="s">
        <v>361</v>
      </c>
      <c r="DA60" s="153">
        <f t="array" ref="DA60">IF(CY60&lt;CZ60,CY60,"")</f>
        <v>28</v>
      </c>
      <c r="DB60" s="49">
        <v>28.0</v>
      </c>
      <c r="DC60" s="49">
        <f>IFERROR(__xludf.DUMMYFUNCTION("""COMPUTED_VALUE"""),55.0)</f>
        <v>55</v>
      </c>
      <c r="DD60" s="49">
        <v>28.0</v>
      </c>
      <c r="DE60" s="49"/>
      <c r="DF60" s="49"/>
      <c r="DG60" s="49"/>
      <c r="DH60" s="49"/>
    </row>
    <row r="61" ht="13.5" customHeight="1">
      <c r="A61" s="118"/>
      <c r="B61" s="165"/>
      <c r="C61" s="165"/>
      <c r="D61" s="165"/>
      <c r="E61" s="165"/>
      <c r="F61" s="166"/>
      <c r="G61" s="167"/>
      <c r="H61" s="168"/>
      <c r="I61" s="167"/>
      <c r="J61" s="168"/>
      <c r="K61" s="167"/>
      <c r="L61" s="168"/>
      <c r="M61" s="167"/>
      <c r="N61" s="168"/>
      <c r="O61" s="167"/>
      <c r="P61" s="168"/>
      <c r="Q61" s="167"/>
      <c r="R61" s="168"/>
      <c r="S61" s="167"/>
      <c r="T61" s="168"/>
      <c r="U61" s="169"/>
      <c r="V61" s="168"/>
      <c r="W61" s="169"/>
      <c r="X61" s="168"/>
      <c r="Y61" s="167"/>
      <c r="Z61" s="168"/>
      <c r="AA61" s="167"/>
      <c r="AB61" s="166"/>
      <c r="AC61" s="165"/>
      <c r="AD61" s="168"/>
      <c r="AE61" s="170"/>
      <c r="AF61" s="171"/>
      <c r="AG61" s="113"/>
      <c r="AH61" s="113"/>
      <c r="AI61" s="113"/>
      <c r="AJ61" s="113"/>
      <c r="AK61" s="113"/>
      <c r="AL61" s="113"/>
      <c r="AM61" s="113"/>
      <c r="AN61" s="113"/>
      <c r="AO61" s="113"/>
      <c r="AP61" s="113"/>
      <c r="AQ61" s="113"/>
      <c r="AR61" s="113"/>
      <c r="AS61" s="113"/>
      <c r="AT61" s="113"/>
      <c r="AU61" s="113"/>
      <c r="AV61" s="113"/>
      <c r="AW61" s="113"/>
      <c r="AY61" s="146">
        <v>51.0</v>
      </c>
      <c r="AZ61" s="146"/>
      <c r="BA61" s="146">
        <v>51.0</v>
      </c>
      <c r="BB61" s="146"/>
      <c r="BC61" s="246">
        <v>51.0</v>
      </c>
      <c r="BD61" s="225">
        <v>50.0</v>
      </c>
      <c r="BE61" s="247">
        <v>51.0</v>
      </c>
      <c r="BF61" s="224">
        <v>50.0</v>
      </c>
      <c r="BG61" s="49">
        <v>51.0</v>
      </c>
      <c r="BH61" s="49">
        <v>51.0</v>
      </c>
      <c r="BI61" s="49"/>
      <c r="BJ61" s="49"/>
      <c r="BK61" s="49"/>
      <c r="BL61" s="49"/>
      <c r="BM61" s="178"/>
      <c r="BO61" s="175" t="str">
        <f>IF(BO60="","",BN60)</f>
        <v/>
      </c>
      <c r="BP61" s="175" t="s">
        <v>362</v>
      </c>
      <c r="BQ61" s="197">
        <f>IFERROR(__xludf.DUMMYFUNCTION("""COMPUTED_VALUE"""),55.0)</f>
        <v>55</v>
      </c>
      <c r="BT61" s="175" t="str">
        <f>IF(BT60="","",BS60)</f>
        <v>св</v>
      </c>
      <c r="BU61" s="175">
        <v>0.0</v>
      </c>
      <c r="BV61" s="196">
        <f>IFERROR(__xludf.DUMMYFUNCTION("""COMPUTED_VALUE"""),56.0)</f>
        <v>56</v>
      </c>
      <c r="BW61" s="178"/>
      <c r="BY61" s="160" t="str">
        <f>IF(BY60="","",BX60)</f>
        <v> </v>
      </c>
      <c r="BZ61" s="160" t="str">
        <f t="shared" si="3"/>
        <v> </v>
      </c>
      <c r="CA61" s="200">
        <f>IFERROR(__xludf.DUMMYFUNCTION("""COMPUTED_VALUE"""),56.0)</f>
        <v>56</v>
      </c>
      <c r="CB61" s="74">
        <f t="shared" si="4"/>
        <v>56</v>
      </c>
      <c r="CC61" s="200"/>
      <c r="CD61" s="243"/>
      <c r="CG61" s="180" t="str">
        <f>IF(CG60="","",CF60)</f>
        <v> </v>
      </c>
      <c r="CH61" s="200" t="s">
        <v>361</v>
      </c>
      <c r="CI61" s="182">
        <f>IFERROR(__xludf.DUMMYFUNCTION("""COMPUTED_VALUE"""),56.0)</f>
        <v>56</v>
      </c>
      <c r="CJ61" s="49" t="s">
        <v>362</v>
      </c>
      <c r="CK61" s="235"/>
      <c r="CL61" s="180" t="str">
        <f>IF(CL60="","",CK60)</f>
        <v> </v>
      </c>
      <c r="CM61" s="49" t="s">
        <v>361</v>
      </c>
      <c r="CN61" s="49">
        <f>IFERROR(__xludf.DUMMYFUNCTION("""COMPUTED_VALUE"""),56.0)</f>
        <v>56</v>
      </c>
      <c r="CQ61" s="180" t="str">
        <f>IF(CQ60="","",CP60)</f>
        <v> </v>
      </c>
      <c r="CR61" s="49" t="s">
        <v>361</v>
      </c>
      <c r="CS61" s="234">
        <f>IFERROR(__xludf.DUMMYFUNCTION("""COMPUTED_VALUE"""),56.0)</f>
        <v>56</v>
      </c>
      <c r="CV61" s="180" t="str">
        <f>IF(CV60="","",CU60)</f>
        <v> </v>
      </c>
      <c r="CW61" s="49" t="s">
        <v>361</v>
      </c>
      <c r="CX61" s="49">
        <f>IFERROR(__xludf.DUMMYFUNCTION("""COMPUTED_VALUE"""),56.0)</f>
        <v>56</v>
      </c>
      <c r="DA61" s="180" t="str">
        <f>IF(DA60="","",CZ60)</f>
        <v> </v>
      </c>
      <c r="DB61" s="49" t="s">
        <v>361</v>
      </c>
      <c r="DC61" s="49">
        <f>IFERROR(__xludf.DUMMYFUNCTION("""COMPUTED_VALUE"""),56.0)</f>
        <v>56</v>
      </c>
      <c r="DD61" s="49" t="s">
        <v>362</v>
      </c>
      <c r="DE61" s="49"/>
      <c r="DF61" s="49"/>
      <c r="DG61" s="49"/>
      <c r="DH61" s="49"/>
    </row>
    <row r="62" ht="13.5" customHeight="1">
      <c r="A62" s="118"/>
      <c r="B62" s="187">
        <v>29.0</v>
      </c>
      <c r="C62" s="188" t="str">
        <f>(VLOOKUP($B62,'Пр.взв'!$D$6:$J$63,2,0))</f>
        <v>ГАСЫМОВ  Аслан </v>
      </c>
      <c r="D62" s="189" t="str">
        <f>(VLOOKUP($B62,'Пр.взв'!$D$6:$J$63,5,0))</f>
        <v>КМС</v>
      </c>
      <c r="E62" s="190" t="str">
        <f>(VLOOKUP($B62,'Пр.взв'!$D$6:$M$63,8,0))</f>
        <v>Москва</v>
      </c>
      <c r="F62" s="130" t="s">
        <v>364</v>
      </c>
      <c r="G62" s="131"/>
      <c r="H62" s="132">
        <v>26.0</v>
      </c>
      <c r="I62" s="131"/>
      <c r="J62" s="133" t="str">
        <f>IF(H62="Х","Х",IF($AC62&lt;6," ","Х"))</f>
        <v> </v>
      </c>
      <c r="K62" s="134"/>
      <c r="L62" s="133" t="str">
        <f>IF(J62="Х","Х",IF(K62&lt;3," ",IF($AC62&lt;6," ","Х")))</f>
        <v> </v>
      </c>
      <c r="M62" s="134"/>
      <c r="N62" s="133" t="str">
        <f>IF(L62="Х","Х",IF(M62&lt;3," ",IF($AC62&lt;6," ","Х")))</f>
        <v> </v>
      </c>
      <c r="O62" s="134"/>
      <c r="P62" s="133" t="str">
        <f>IF(N62="Х","Х",IF(O62&lt;3," ",IF($AC62&lt;6," ","Х")))</f>
        <v> </v>
      </c>
      <c r="Q62" s="134"/>
      <c r="R62" s="133" t="str">
        <f>IF(P62="Х","Х",IF(Q62&lt;3," ",IF($AC62&lt;6," ","Х")))</f>
        <v> </v>
      </c>
      <c r="S62" s="134"/>
      <c r="T62" s="133" t="str">
        <f>IF(R62="Х","Х",IF(S62&lt;3," ",IF($AC62&lt;6," ","Х")))</f>
        <v> </v>
      </c>
      <c r="U62" s="135"/>
      <c r="V62" s="133" t="str">
        <f>IF(T62="Х","Х",IF(U62&lt;3," ",IF($AC62&lt;6," ","Х")))</f>
        <v> </v>
      </c>
      <c r="W62" s="135"/>
      <c r="X62" s="133" t="str">
        <f>IF(V62="А1",$AZ$7,IF(V62="Б2",$AZ$6,IF(V62="Б1",$BA$7,IF(V62="А2",$BA$6,IF(V62="Х","Х",IF(V62&lt;6," "," "))))))</f>
        <v> </v>
      </c>
      <c r="Y62" s="136"/>
      <c r="Z62" s="133" t="str">
        <f>IF(V62="Х","Х",IF(ISBLANK(Y62),"",IF(Y62&gt;2.5," ",IF(B62=BB$6,BB$7,BB$6))))</f>
        <v/>
      </c>
      <c r="AA62" s="136"/>
      <c r="AB62" s="240" t="str">
        <f>IF(H62="Х",F$5,IF(J62="Х",H$5,IF(L62="Х",J$5,IF(N62="Х",L$5,IF(P62="Х",N$5,IF(R62="Х",P$5,IF(T62="Х",R$5,IF(X62="Х",T$5,""))))))))</f>
        <v/>
      </c>
      <c r="AC62" s="138">
        <f>SUM(G62+I62+K62+M62+O62+Q62+S62+U62+Y62+AA62)</f>
        <v>0</v>
      </c>
      <c r="AD62" s="241" t="str">
        <f>AF62</f>
        <v>55-58</v>
      </c>
      <c r="AE62" s="140" t="str">
        <f>AD62</f>
        <v>55-58</v>
      </c>
      <c r="AF62" s="141" t="str">
        <f>COUNTIF(AG$6:AG$148,"&gt;"&amp;AG$6:AG$148)+1&amp;REPT("-"&amp;COUNTIF(AG$6:AG$148,"&gt;="&amp;AG$6:AG$148),COUNTIF(AG$6:AG$148,AG62)&gt;1)</f>
        <v>55-58</v>
      </c>
      <c r="AG62" s="142">
        <f>(AR62*100)+(AP62*10)-AC62</f>
        <v>1270</v>
      </c>
      <c r="AH62" s="143" t="str">
        <f>IF(OR(F62="Х",F62="св")," ",IF(AND(G62&gt;=0,G62&lt;3),"1"," "))</f>
        <v> </v>
      </c>
      <c r="AI62" s="90" t="str">
        <f>IF(OR(H62="Х",H62="св")," ",IF(AND(I62&gt;=0,I62&lt;3),"1"," "))</f>
        <v>1</v>
      </c>
      <c r="AJ62" s="90" t="str">
        <f>IF(OR(J62="Х",J62="св")," ",IF(AND(K62&gt;=0,K62&lt;3),"1"," "))</f>
        <v>1</v>
      </c>
      <c r="AK62" s="90" t="str">
        <f>IF(OR(L62="Х",L62="св")," ",IF(AND(M62&gt;=0,M62&lt;3),"1"," "))</f>
        <v>1</v>
      </c>
      <c r="AL62" s="90" t="str">
        <f>IF(OR(N62="Х",N62="св")," ",IF(AND(O62&gt;=0,O62&lt;3),"1"," "))</f>
        <v>1</v>
      </c>
      <c r="AM62" s="90" t="str">
        <f>IF(OR(P62="Х",P62="св")," ",IF(AND(Q62&gt;=0,Q62&lt;3),"1"," "))</f>
        <v>1</v>
      </c>
      <c r="AN62" s="90" t="str">
        <f>IF(OR(R62="Х",R62="св")," ",IF(AND(S62&gt;=0,S62&lt;3),"1"," "))</f>
        <v>1</v>
      </c>
      <c r="AO62" s="90" t="str">
        <f>IF(OR(T62="Х",T62="св")," ",IF(AND(U62&gt;=0,U62&lt;3),"1"," "))</f>
        <v>1</v>
      </c>
      <c r="AP62" s="90">
        <f>COUNTIF(AH62:AO63,1)</f>
        <v>7</v>
      </c>
      <c r="AQ62" s="90">
        <f>AG62-AC62</f>
        <v>1270</v>
      </c>
      <c r="AR62" s="144">
        <f>IF(F62=0,0,IF(F62="Х",1,IF(H62="Х",2,IF(J62="Х",3,IF(L62="Х",4,IF(N62="Х",5,IF(P62="Х",6,IF(R62="Х",7,IF(T62="Х",8,IF(V62="Х",9,IF(Y62&gt;2.5,10,IF(AA62&gt;2.5,11,IF(AA62&gt;=0,12,IF(AA62=" ",0,))))))))))))))</f>
        <v>12</v>
      </c>
      <c r="AS62" s="90" t="str">
        <f>COUNTIF(AG$6:AG$134,"&gt;"&amp;AG$6:AG$134)+1&amp;REPT("-"&amp;COUNTIF(AG$6:AG$134,"&gt;="&amp;AG$6:AG$134),COUNTIF(AG$6:AG$134,AG62)&gt;1)</f>
        <v>55-58</v>
      </c>
      <c r="AT62" s="143" t="str">
        <f t="shared" ref="AT62:AW62" si="32">COUNTIF(AU$6:AU$134,"&gt;"&amp;AU$6:AU$134)+1&amp;REPT("-"&amp;COUNTIF(AU$6:AU$134,"&gt;="&amp;AU$6:AU$134),COUNTIF(AU$6:AU$134,AU62)&gt;1)</f>
        <v>1-64</v>
      </c>
      <c r="AU62" s="143" t="str">
        <f t="shared" si="32"/>
        <v>1-0</v>
      </c>
      <c r="AV62" s="143" t="str">
        <f t="shared" si="32"/>
        <v>1</v>
      </c>
      <c r="AW62" s="143" t="str">
        <f t="shared" si="32"/>
        <v>36</v>
      </c>
      <c r="AX62" s="145">
        <f>IF(X62="Х","Х",IF(Y62&lt;3,B62,"Х"))</f>
        <v>29</v>
      </c>
      <c r="AY62" s="146">
        <v>52.0</v>
      </c>
      <c r="AZ62" s="146"/>
      <c r="BA62" s="146">
        <v>52.0</v>
      </c>
      <c r="BB62" s="146"/>
      <c r="BC62" s="246">
        <v>52.0</v>
      </c>
      <c r="BD62" s="225">
        <v>51.0</v>
      </c>
      <c r="BE62" s="247">
        <v>52.0</v>
      </c>
      <c r="BF62" s="224">
        <v>52.0</v>
      </c>
      <c r="BG62" s="49">
        <v>52.0</v>
      </c>
      <c r="BH62" s="49">
        <v>52.0</v>
      </c>
      <c r="BI62" s="49"/>
      <c r="BJ62" s="49"/>
      <c r="BK62" s="49"/>
      <c r="BL62" s="49"/>
      <c r="BM62" s="195">
        <v>29.0</v>
      </c>
      <c r="BN62" s="196" t="s">
        <v>364</v>
      </c>
      <c r="BO62" s="153">
        <f>IF(BM62&lt;BN62,BM62,"")</f>
        <v>29</v>
      </c>
      <c r="BP62" s="196">
        <v>29.0</v>
      </c>
      <c r="BQ62" s="197">
        <f>IFERROR(__xludf.DUMMYFUNCTION("""COMPUTED_VALUE"""),56.0)</f>
        <v>56</v>
      </c>
      <c r="BR62" s="198">
        <v>29.0</v>
      </c>
      <c r="BS62" s="196">
        <v>26.0</v>
      </c>
      <c r="BT62" s="175" t="str">
        <f>IF(BR62&lt;BS62,BR62,"")</f>
        <v/>
      </c>
      <c r="BU62" s="196" t="s">
        <v>362</v>
      </c>
      <c r="BV62" s="196">
        <f>IFERROR(__xludf.DUMMYFUNCTION("""COMPUTED_VALUE"""),55.0)</f>
        <v>55</v>
      </c>
      <c r="BW62" s="199">
        <v>29.0</v>
      </c>
      <c r="BX62" s="74" t="s">
        <v>361</v>
      </c>
      <c r="BY62" s="160">
        <f t="array" ref="BY62">IF(BW62&lt;BX62,BW62,"")</f>
        <v>29</v>
      </c>
      <c r="BZ62" s="160">
        <f t="shared" si="3"/>
        <v>29</v>
      </c>
      <c r="CA62" s="74">
        <f>IFERROR(__xludf.DUMMYFUNCTION("""COMPUTED_VALUE"""),57.0)</f>
        <v>57</v>
      </c>
      <c r="CB62" s="74">
        <f t="shared" si="4"/>
        <v>57</v>
      </c>
      <c r="CC62" s="200"/>
      <c r="CD62" s="243"/>
      <c r="CE62" s="200">
        <v>29.0</v>
      </c>
      <c r="CF62" s="25" t="s">
        <v>361</v>
      </c>
      <c r="CG62" s="153">
        <f t="array" ref="CG62">IF(CE62&lt;CF62,CE62,"")</f>
        <v>29</v>
      </c>
      <c r="CH62" s="74">
        <v>29.0</v>
      </c>
      <c r="CI62" s="182">
        <f>IFERROR(__xludf.DUMMYFUNCTION("""COMPUTED_VALUE"""),57.0)</f>
        <v>57</v>
      </c>
      <c r="CJ62" s="93">
        <v>29.0</v>
      </c>
      <c r="CK62" s="233" t="s">
        <v>361</v>
      </c>
      <c r="CL62" s="153">
        <f t="array" ref="CL62">IF(CJ62&lt;CK62,CJ62,"")</f>
        <v>29</v>
      </c>
      <c r="CM62" s="49">
        <v>29.0</v>
      </c>
      <c r="CN62" s="49">
        <f>IFERROR(__xludf.DUMMYFUNCTION("""COMPUTED_VALUE"""),57.0)</f>
        <v>57</v>
      </c>
      <c r="CO62" s="74">
        <v>29.0</v>
      </c>
      <c r="CP62" s="200" t="s">
        <v>361</v>
      </c>
      <c r="CQ62" s="153">
        <f t="array" ref="CQ62">IF(CO62&lt;CP62,CO62,"")</f>
        <v>29</v>
      </c>
      <c r="CR62" s="93">
        <v>29.0</v>
      </c>
      <c r="CS62" s="234">
        <f>IFERROR(__xludf.DUMMYFUNCTION("""COMPUTED_VALUE"""),57.0)</f>
        <v>57</v>
      </c>
      <c r="CT62" s="200">
        <v>29.0</v>
      </c>
      <c r="CU62" s="74" t="s">
        <v>361</v>
      </c>
      <c r="CV62" s="153">
        <f t="array" ref="CV62">IF(CT62&lt;CU62,CT62,"")</f>
        <v>29</v>
      </c>
      <c r="CW62" s="49">
        <v>29.0</v>
      </c>
      <c r="CX62" s="49">
        <f>IFERROR(__xludf.DUMMYFUNCTION("""COMPUTED_VALUE"""),57.0)</f>
        <v>57</v>
      </c>
      <c r="CY62" s="200">
        <v>29.0</v>
      </c>
      <c r="CZ62" s="74" t="s">
        <v>361</v>
      </c>
      <c r="DA62" s="153">
        <f t="array" ref="DA62">IF(CY62&lt;CZ62,CY62,"")</f>
        <v>29</v>
      </c>
      <c r="DB62" s="49">
        <v>29.0</v>
      </c>
      <c r="DC62" s="49">
        <f>IFERROR(__xludf.DUMMYFUNCTION("""COMPUTED_VALUE"""),57.0)</f>
        <v>57</v>
      </c>
      <c r="DD62" s="49">
        <v>29.0</v>
      </c>
      <c r="DE62" s="49"/>
      <c r="DF62" s="49"/>
      <c r="DG62" s="49"/>
      <c r="DH62" s="49"/>
    </row>
    <row r="63" ht="13.5" customHeight="1">
      <c r="A63" s="118"/>
      <c r="B63" s="165"/>
      <c r="C63" s="165"/>
      <c r="D63" s="165"/>
      <c r="E63" s="165"/>
      <c r="F63" s="166"/>
      <c r="G63" s="167"/>
      <c r="H63" s="168"/>
      <c r="I63" s="167"/>
      <c r="J63" s="168"/>
      <c r="K63" s="167"/>
      <c r="L63" s="168"/>
      <c r="M63" s="167"/>
      <c r="N63" s="168"/>
      <c r="O63" s="167"/>
      <c r="P63" s="168"/>
      <c r="Q63" s="167"/>
      <c r="R63" s="168"/>
      <c r="S63" s="167"/>
      <c r="T63" s="168"/>
      <c r="U63" s="169"/>
      <c r="V63" s="168"/>
      <c r="W63" s="169"/>
      <c r="X63" s="168"/>
      <c r="Y63" s="167"/>
      <c r="Z63" s="168"/>
      <c r="AA63" s="167"/>
      <c r="AB63" s="166"/>
      <c r="AC63" s="165"/>
      <c r="AD63" s="168"/>
      <c r="AE63" s="170"/>
      <c r="AF63" s="171"/>
      <c r="AG63" s="113"/>
      <c r="AH63" s="113"/>
      <c r="AI63" s="113"/>
      <c r="AJ63" s="113"/>
      <c r="AK63" s="113"/>
      <c r="AL63" s="113"/>
      <c r="AM63" s="113"/>
      <c r="AN63" s="113"/>
      <c r="AO63" s="113"/>
      <c r="AP63" s="113"/>
      <c r="AQ63" s="113"/>
      <c r="AR63" s="113"/>
      <c r="AS63" s="113"/>
      <c r="AT63" s="113"/>
      <c r="AU63" s="113"/>
      <c r="AV63" s="113"/>
      <c r="AW63" s="113"/>
      <c r="AY63" s="146">
        <v>53.0</v>
      </c>
      <c r="AZ63" s="146"/>
      <c r="BA63" s="146">
        <v>53.0</v>
      </c>
      <c r="BB63" s="146"/>
      <c r="BC63" s="49">
        <v>53.0</v>
      </c>
      <c r="BD63" s="225">
        <v>52.0</v>
      </c>
      <c r="BE63" s="49">
        <v>53.0</v>
      </c>
      <c r="BF63" s="224">
        <v>51.0</v>
      </c>
      <c r="BG63" s="49">
        <v>53.0</v>
      </c>
      <c r="BH63" s="49">
        <v>53.0</v>
      </c>
      <c r="BI63" s="49"/>
      <c r="BJ63" s="49"/>
      <c r="BK63" s="49"/>
      <c r="BL63" s="49"/>
      <c r="BM63" s="178"/>
      <c r="BO63" s="175" t="str">
        <f>IF(BO62="","",BN62)</f>
        <v>св</v>
      </c>
      <c r="BP63" s="175">
        <v>0.0</v>
      </c>
      <c r="BQ63" s="197">
        <f>IFERROR(__xludf.DUMMYFUNCTION("""COMPUTED_VALUE"""),57.0)</f>
        <v>57</v>
      </c>
      <c r="BT63" s="175" t="str">
        <f>IF(BT62="","",BS62)</f>
        <v/>
      </c>
      <c r="BU63" s="175" t="s">
        <v>362</v>
      </c>
      <c r="BV63" s="196">
        <f>IFERROR(__xludf.DUMMYFUNCTION("""COMPUTED_VALUE"""),58.0)</f>
        <v>58</v>
      </c>
      <c r="BW63" s="178"/>
      <c r="BY63" s="160" t="str">
        <f>IF(BY62="","",BX62)</f>
        <v> </v>
      </c>
      <c r="BZ63" s="160" t="str">
        <f t="shared" si="3"/>
        <v> </v>
      </c>
      <c r="CA63" s="200">
        <f>IFERROR(__xludf.DUMMYFUNCTION("""COMPUTED_VALUE"""),58.0)</f>
        <v>58</v>
      </c>
      <c r="CB63" s="74">
        <f t="shared" si="4"/>
        <v>58</v>
      </c>
      <c r="CC63" s="200"/>
      <c r="CD63" s="243"/>
      <c r="CG63" s="180" t="str">
        <f>IF(CG62="","",CF62)</f>
        <v> </v>
      </c>
      <c r="CH63" s="200" t="s">
        <v>361</v>
      </c>
      <c r="CI63" s="182">
        <f>IFERROR(__xludf.DUMMYFUNCTION("""COMPUTED_VALUE"""),58.0)</f>
        <v>58</v>
      </c>
      <c r="CJ63" s="49" t="s">
        <v>362</v>
      </c>
      <c r="CK63" s="235"/>
      <c r="CL63" s="180" t="str">
        <f>IF(CL62="","",CK62)</f>
        <v> </v>
      </c>
      <c r="CM63" s="49" t="s">
        <v>361</v>
      </c>
      <c r="CN63" s="49">
        <f>IFERROR(__xludf.DUMMYFUNCTION("""COMPUTED_VALUE"""),58.0)</f>
        <v>58</v>
      </c>
      <c r="CQ63" s="180" t="str">
        <f>IF(CQ62="","",CP62)</f>
        <v> </v>
      </c>
      <c r="CR63" s="49" t="s">
        <v>361</v>
      </c>
      <c r="CS63" s="234">
        <f>IFERROR(__xludf.DUMMYFUNCTION("""COMPUTED_VALUE"""),58.0)</f>
        <v>58</v>
      </c>
      <c r="CV63" s="180" t="str">
        <f>IF(CV62="","",CU62)</f>
        <v> </v>
      </c>
      <c r="CW63" s="49" t="s">
        <v>361</v>
      </c>
      <c r="CX63" s="49">
        <f>IFERROR(__xludf.DUMMYFUNCTION("""COMPUTED_VALUE"""),58.0)</f>
        <v>58</v>
      </c>
      <c r="DA63" s="180" t="str">
        <f>IF(DA62="","",CZ62)</f>
        <v> </v>
      </c>
      <c r="DB63" s="49" t="s">
        <v>361</v>
      </c>
      <c r="DC63" s="49">
        <f>IFERROR(__xludf.DUMMYFUNCTION("""COMPUTED_VALUE"""),58.0)</f>
        <v>58</v>
      </c>
      <c r="DD63" s="49" t="s">
        <v>362</v>
      </c>
      <c r="DE63" s="49"/>
      <c r="DF63" s="49"/>
      <c r="DG63" s="49"/>
      <c r="DH63" s="49"/>
    </row>
    <row r="64" ht="13.5" customHeight="1">
      <c r="A64" s="118"/>
      <c r="B64" s="248"/>
      <c r="C64" s="166"/>
      <c r="D64" s="166"/>
      <c r="E64" s="166"/>
      <c r="F64" s="166"/>
      <c r="G64" s="166"/>
      <c r="H64" s="166"/>
      <c r="I64" s="166"/>
      <c r="J64" s="166"/>
      <c r="K64" s="166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66"/>
      <c r="W64" s="166"/>
      <c r="X64" s="166"/>
      <c r="Y64" s="166"/>
      <c r="Z64" s="166"/>
      <c r="AA64" s="166"/>
      <c r="AB64" s="166"/>
      <c r="AC64" s="166"/>
      <c r="AD64" s="249"/>
      <c r="AE64" s="140"/>
      <c r="AF64" s="250"/>
      <c r="AG64" s="251"/>
      <c r="AH64" s="252"/>
      <c r="AI64" s="253"/>
      <c r="AJ64" s="253"/>
      <c r="AK64" s="253"/>
      <c r="AL64" s="253"/>
      <c r="AM64" s="253"/>
      <c r="AN64" s="253"/>
      <c r="AO64" s="253"/>
      <c r="AP64" s="253"/>
      <c r="AQ64" s="253"/>
      <c r="AR64" s="254"/>
      <c r="AS64" s="253"/>
      <c r="AT64" s="252"/>
      <c r="AU64" s="252"/>
      <c r="AV64" s="252"/>
      <c r="AW64" s="252"/>
      <c r="AX64" s="145"/>
      <c r="AY64" s="146">
        <v>54.0</v>
      </c>
      <c r="AZ64" s="146"/>
      <c r="BA64" s="146">
        <v>54.0</v>
      </c>
      <c r="BB64" s="146"/>
      <c r="BC64" s="49">
        <v>54.0</v>
      </c>
      <c r="BD64" s="225">
        <v>53.0</v>
      </c>
      <c r="BE64" s="49">
        <v>54.0</v>
      </c>
      <c r="BF64" s="224">
        <v>53.0</v>
      </c>
      <c r="BG64" s="49">
        <v>54.0</v>
      </c>
      <c r="BH64" s="49">
        <v>54.0</v>
      </c>
      <c r="BI64" s="49"/>
      <c r="BJ64" s="49"/>
      <c r="BK64" s="49"/>
      <c r="BL64" s="49"/>
      <c r="BM64" s="195" t="s">
        <v>362</v>
      </c>
      <c r="BN64" s="196"/>
      <c r="BO64" s="175"/>
      <c r="BP64" s="175"/>
      <c r="BQ64" s="197">
        <f>IFERROR(__xludf.DUMMYFUNCTION("""COMPUTED_VALUE"""),58.0)</f>
        <v>58</v>
      </c>
      <c r="BR64" s="198" t="s">
        <v>362</v>
      </c>
      <c r="BS64" s="196"/>
      <c r="BT64" s="175"/>
      <c r="BU64" s="175"/>
      <c r="BV64" s="196">
        <f>IFERROR(__xludf.DUMMYFUNCTION("""COMPUTED_VALUE"""),57.0)</f>
        <v>57</v>
      </c>
      <c r="BW64" s="199" t="s">
        <v>362</v>
      </c>
      <c r="BX64" s="74"/>
      <c r="BY64" s="160"/>
      <c r="BZ64" s="74"/>
      <c r="CA64" s="200">
        <f>IFERROR(__xludf.DUMMYFUNCTION("""COMPUTED_VALUE"""),59.0)</f>
        <v>59</v>
      </c>
      <c r="CB64" s="74"/>
      <c r="CC64" s="200"/>
      <c r="CD64" s="243"/>
      <c r="CE64" s="200" t="s">
        <v>362</v>
      </c>
      <c r="CF64" s="25"/>
      <c r="CG64" s="175"/>
      <c r="CH64" s="200"/>
      <c r="CI64" s="182">
        <f>IFERROR(__xludf.DUMMYFUNCTION("""COMPUTED_VALUE"""),59.0)</f>
        <v>59</v>
      </c>
      <c r="CJ64" s="49" t="s">
        <v>362</v>
      </c>
      <c r="CK64" s="235"/>
      <c r="CL64" s="175"/>
      <c r="CM64" s="49"/>
      <c r="CN64" s="49">
        <f>IFERROR(__xludf.DUMMYFUNCTION("""COMPUTED_VALUE"""),59.0)</f>
        <v>59</v>
      </c>
      <c r="CO64" s="74" t="s">
        <v>362</v>
      </c>
      <c r="CP64" s="200"/>
      <c r="CQ64" s="175"/>
      <c r="CR64" s="49"/>
      <c r="CS64" s="234">
        <f>IFERROR(__xludf.DUMMYFUNCTION("""COMPUTED_VALUE"""),59.0)</f>
        <v>59</v>
      </c>
      <c r="CT64" s="200" t="s">
        <v>362</v>
      </c>
      <c r="CU64" s="74"/>
      <c r="CV64" s="175"/>
      <c r="CW64" s="49"/>
      <c r="CX64" s="49">
        <f>IFERROR(__xludf.DUMMYFUNCTION("""COMPUTED_VALUE"""),59.0)</f>
        <v>59</v>
      </c>
      <c r="CY64" s="200" t="s">
        <v>362</v>
      </c>
      <c r="CZ64" s="74"/>
      <c r="DA64" s="175"/>
      <c r="DB64" s="49"/>
      <c r="DC64" s="49">
        <f>IFERROR(__xludf.DUMMYFUNCTION("""COMPUTED_VALUE"""),59.0)</f>
        <v>59</v>
      </c>
      <c r="DD64" s="49" t="s">
        <v>362</v>
      </c>
      <c r="DE64" s="49"/>
      <c r="DF64" s="49"/>
      <c r="DG64" s="49"/>
      <c r="DH64" s="49"/>
    </row>
    <row r="65" ht="13.5" customHeight="1">
      <c r="A65" s="118"/>
      <c r="B65" s="187">
        <v>30.0</v>
      </c>
      <c r="C65" s="188" t="str">
        <f>(VLOOKUP($B65,'Пр.взв'!$D$6:$J$63,2,0))</f>
        <v>ШАМШИН Егор</v>
      </c>
      <c r="D65" s="189" t="str">
        <f>(VLOOKUP($B65,'Пр.взв'!$D$6:$J$63,5,0))</f>
        <v>КМС</v>
      </c>
      <c r="E65" s="190" t="str">
        <f>(VLOOKUP($B65,'Пр.взв'!$D$6:$M$63,8,0))</f>
        <v>Нижегородская</v>
      </c>
      <c r="F65" s="130">
        <f>B67</f>
        <v>31</v>
      </c>
      <c r="G65" s="131"/>
      <c r="H65" s="132">
        <v>32.0</v>
      </c>
      <c r="I65" s="131"/>
      <c r="J65" s="133" t="str">
        <f>IF(H65="Х","Х",IF($AC65&lt;6," ","Х"))</f>
        <v> </v>
      </c>
      <c r="K65" s="134"/>
      <c r="L65" s="133" t="str">
        <f>IF(J65="Х","Х",IF(K65&lt;3," ",IF($AC65&lt;6," ","Х")))</f>
        <v> </v>
      </c>
      <c r="M65" s="134"/>
      <c r="N65" s="133" t="str">
        <f>IF(L65="Х","Х",IF(M65&lt;3," ",IF($AC65&lt;6," ","Х")))</f>
        <v> </v>
      </c>
      <c r="O65" s="134"/>
      <c r="P65" s="133" t="str">
        <f>IF(N65="Х","Х",IF(O65&lt;3," ",IF($AC65&lt;6," ","Х")))</f>
        <v> </v>
      </c>
      <c r="Q65" s="134"/>
      <c r="R65" s="133" t="str">
        <f>IF(P65="Х","Х",IF(Q65&lt;3," ",IF($AC65&lt;6," ","Х")))</f>
        <v> </v>
      </c>
      <c r="S65" s="134"/>
      <c r="T65" s="133" t="str">
        <f>IF(R65="Х","Х",IF(S65&lt;3," ",IF($AC65&lt;6," ","Х")))</f>
        <v> </v>
      </c>
      <c r="U65" s="135"/>
      <c r="V65" s="133" t="str">
        <f>IF(T65="Х","Х",IF(U65&lt;3," ",IF($AC65&lt;6," ","Х")))</f>
        <v> </v>
      </c>
      <c r="W65" s="135"/>
      <c r="X65" s="133" t="str">
        <f>IF(V65="А1",$AZ$7,IF(V65="Б2",$AZ$6,IF(V65="Б1",$BA$7,IF(V65="А2",$BA$6,IF(V65="Х","Х",IF(V65&lt;6," "," "))))))</f>
        <v> </v>
      </c>
      <c r="Y65" s="136"/>
      <c r="Z65" s="133" t="str">
        <f>IF(V65="Х","Х",IF(ISBLANK(Y65),"",IF(Y65&gt;2.5," ",IF(B65=BB$6,BB$7,BB$6))))</f>
        <v/>
      </c>
      <c r="AA65" s="136"/>
      <c r="AB65" s="240" t="str">
        <f>IF(H65="Х",F$5,IF(J65="Х",H$5,IF(L65="Х",J$5,IF(N65="Х",L$5,IF(P65="Х",N$5,IF(R65="Х",P$5,IF(T65="Х",R$5,IF(X65="Х",T$5,""))))))))</f>
        <v/>
      </c>
      <c r="AC65" s="138">
        <f>SUM(G65+I65+K65+M65+O65+Q65+S65+U65+Y65+AA65)</f>
        <v>0</v>
      </c>
      <c r="AD65" s="241" t="str">
        <f>AF65</f>
        <v>1-54</v>
      </c>
      <c r="AE65" s="140" t="str">
        <f>AD65</f>
        <v>1-54</v>
      </c>
      <c r="AF65" s="141" t="str">
        <f>COUNTIF(AG$6:AG$148,"&gt;"&amp;AG$6:AG$148)+1&amp;REPT("-"&amp;COUNTIF(AG$6:AG$148,"&gt;="&amp;AG$6:AG$148),COUNTIF(AG$6:AG$148,AG65)&gt;1)</f>
        <v>1-54</v>
      </c>
      <c r="AG65" s="142">
        <f>(AR65*100)+(AP65*10)-AC65</f>
        <v>1280</v>
      </c>
      <c r="AH65" s="143" t="str">
        <f>IF(OR(F65="Х",F65="св")," ",IF(AND(G65&gt;=0,G65&lt;3),"1"," "))</f>
        <v>1</v>
      </c>
      <c r="AI65" s="90" t="str">
        <f>IF(OR(H65="Х",H65="св")," ",IF(AND(I65&gt;=0,I65&lt;3),"1"," "))</f>
        <v>1</v>
      </c>
      <c r="AJ65" s="90" t="str">
        <f>IF(OR(J65="Х",J65="св")," ",IF(AND(K65&gt;=0,K65&lt;3),"1"," "))</f>
        <v>1</v>
      </c>
      <c r="AK65" s="90" t="str">
        <f>IF(OR(L65="Х",L65="св")," ",IF(AND(M65&gt;=0,M65&lt;3),"1"," "))</f>
        <v>1</v>
      </c>
      <c r="AL65" s="90" t="str">
        <f>IF(OR(N65="Х",N65="св")," ",IF(AND(O65&gt;=0,O65&lt;3),"1"," "))</f>
        <v>1</v>
      </c>
      <c r="AM65" s="90" t="str">
        <f>IF(OR(P65="Х",P65="св")," ",IF(AND(Q65&gt;=0,Q65&lt;3),"1"," "))</f>
        <v>1</v>
      </c>
      <c r="AN65" s="90" t="str">
        <f>IF(OR(R65="Х",R65="св")," ",IF(AND(S65&gt;=0,S65&lt;3),"1"," "))</f>
        <v>1</v>
      </c>
      <c r="AO65" s="90" t="str">
        <f>IF(OR(T65="Х",T65="св")," ",IF(AND(U65&gt;=0,U65&lt;3),"1"," "))</f>
        <v>1</v>
      </c>
      <c r="AP65" s="90">
        <f>COUNTIF(AH65:AO66,1)</f>
        <v>8</v>
      </c>
      <c r="AQ65" s="90">
        <f>AG65-AC65</f>
        <v>1280</v>
      </c>
      <c r="AR65" s="144">
        <f>IF(F65=0,0,IF(F65="Х",1,IF(H65="Х",2,IF(J65="Х",3,IF(L65="Х",4,IF(N65="Х",5,IF(P65="Х",6,IF(R65="Х",7,IF(T65="Х",8,IF(V65="Х",9,IF(Y65&gt;2.5,10,IF(AA65&gt;2.5,11,IF(AA65&gt;=0,12,IF(AA65=" ",0,))))))))))))))</f>
        <v>12</v>
      </c>
      <c r="AS65" s="90" t="str">
        <f>COUNTIF(AG$6:AG$134,"&gt;"&amp;AG$6:AG$134)+1&amp;REPT("-"&amp;COUNTIF(AG$6:AG$134,"&gt;="&amp;AG$6:AG$134),COUNTIF(AG$6:AG$134,AG65)&gt;1)</f>
        <v>1-54</v>
      </c>
      <c r="AT65" s="143" t="str">
        <f t="shared" ref="AT65:AW65" si="33">COUNTIF(AU$6:AU$134,"&gt;"&amp;AU$6:AU$134)+1&amp;REPT("-"&amp;COUNTIF(AU$6:AU$134,"&gt;="&amp;AU$6:AU$134),COUNTIF(AU$6:AU$134,AU65)&gt;1)</f>
        <v>1-64</v>
      </c>
      <c r="AU65" s="143" t="str">
        <f t="shared" si="33"/>
        <v>1-0</v>
      </c>
      <c r="AV65" s="143" t="str">
        <f t="shared" si="33"/>
        <v>1</v>
      </c>
      <c r="AW65" s="143" t="str">
        <f t="shared" si="33"/>
        <v>35</v>
      </c>
      <c r="AX65" s="145">
        <f>IF(X65="Х","Х",IF(Y65&lt;3,B65,"Х"))</f>
        <v>30</v>
      </c>
      <c r="AY65" s="146">
        <v>55.0</v>
      </c>
      <c r="AZ65" s="146"/>
      <c r="BA65" s="146">
        <v>55.0</v>
      </c>
      <c r="BB65" s="146"/>
      <c r="BC65" s="49">
        <v>55.0</v>
      </c>
      <c r="BD65" s="225">
        <v>54.0</v>
      </c>
      <c r="BE65" s="49">
        <v>55.0</v>
      </c>
      <c r="BF65" s="224">
        <v>54.0</v>
      </c>
      <c r="BG65" s="49">
        <v>55.0</v>
      </c>
      <c r="BH65" s="49">
        <v>55.0</v>
      </c>
      <c r="BI65" s="49"/>
      <c r="BJ65" s="49"/>
      <c r="BK65" s="49"/>
      <c r="BL65" s="49"/>
      <c r="BM65" s="195">
        <v>30.0</v>
      </c>
      <c r="BN65" s="196">
        <v>31.0</v>
      </c>
      <c r="BO65" s="153">
        <f>IF(BM65&lt;BN65,BM65,"")</f>
        <v>30</v>
      </c>
      <c r="BP65" s="196">
        <v>30.0</v>
      </c>
      <c r="BQ65" s="197">
        <f>IFERROR(__xludf.DUMMYFUNCTION("""COMPUTED_VALUE"""),0.0)</f>
        <v>0</v>
      </c>
      <c r="BR65" s="198">
        <v>30.0</v>
      </c>
      <c r="BS65" s="196">
        <v>32.0</v>
      </c>
      <c r="BT65" s="175">
        <f>IF(BR65&lt;BS65,BR65,"")</f>
        <v>30</v>
      </c>
      <c r="BU65" s="196">
        <v>30.0</v>
      </c>
      <c r="BV65" s="196">
        <f>IFERROR(__xludf.DUMMYFUNCTION("""COMPUTED_VALUE"""),0.0)</f>
        <v>0</v>
      </c>
      <c r="BW65" s="199">
        <v>30.0</v>
      </c>
      <c r="BX65" s="74" t="s">
        <v>361</v>
      </c>
      <c r="BY65" s="160">
        <f t="array" ref="BY65">IF(BW65&lt;BX65,BW65,"")</f>
        <v>30</v>
      </c>
      <c r="BZ65" s="160">
        <f t="shared" ref="BZ65:BZ147" si="34">IF(BY65="св",0,BY65)</f>
        <v>30</v>
      </c>
      <c r="CA65" s="74">
        <f>IFERROR(__xludf.DUMMYFUNCTION("""COMPUTED_VALUE"""),60.0)</f>
        <v>60</v>
      </c>
      <c r="CB65" s="74">
        <f t="shared" ref="CB65:CB147" si="35">IF(CA65=0,"св",CA65)</f>
        <v>60</v>
      </c>
      <c r="CC65" s="200"/>
      <c r="CD65" s="243"/>
      <c r="CE65" s="200">
        <v>30.0</v>
      </c>
      <c r="CF65" s="25" t="s">
        <v>361</v>
      </c>
      <c r="CG65" s="153">
        <f t="array" ref="CG65">IF(CE65&lt;CF65,CE65,"")</f>
        <v>30</v>
      </c>
      <c r="CH65" s="74">
        <v>30.0</v>
      </c>
      <c r="CI65" s="182">
        <f>IFERROR(__xludf.DUMMYFUNCTION("""COMPUTED_VALUE"""),60.0)</f>
        <v>60</v>
      </c>
      <c r="CJ65" s="93">
        <v>30.0</v>
      </c>
      <c r="CK65" s="233" t="s">
        <v>361</v>
      </c>
      <c r="CL65" s="153">
        <f t="array" ref="CL65">IF(CJ65&lt;CK65,CJ65,"")</f>
        <v>30</v>
      </c>
      <c r="CM65" s="49">
        <v>30.0</v>
      </c>
      <c r="CN65" s="49">
        <f>IFERROR(__xludf.DUMMYFUNCTION("""COMPUTED_VALUE"""),60.0)</f>
        <v>60</v>
      </c>
      <c r="CO65" s="74">
        <v>30.0</v>
      </c>
      <c r="CP65" s="200" t="s">
        <v>361</v>
      </c>
      <c r="CQ65" s="153">
        <f t="array" ref="CQ65">IF(CO65&lt;CP65,CO65,"")</f>
        <v>30</v>
      </c>
      <c r="CR65" s="93">
        <v>30.0</v>
      </c>
      <c r="CS65" s="234">
        <f>IFERROR(__xludf.DUMMYFUNCTION("""COMPUTED_VALUE"""),60.0)</f>
        <v>60</v>
      </c>
      <c r="CT65" s="200">
        <v>30.0</v>
      </c>
      <c r="CU65" s="74" t="s">
        <v>361</v>
      </c>
      <c r="CV65" s="153">
        <f t="array" ref="CV65">IF(CT65&lt;CU65,CT65,"")</f>
        <v>30</v>
      </c>
      <c r="CW65" s="49">
        <v>30.0</v>
      </c>
      <c r="CX65" s="49">
        <f>IFERROR(__xludf.DUMMYFUNCTION("""COMPUTED_VALUE"""),60.0)</f>
        <v>60</v>
      </c>
      <c r="CY65" s="200">
        <v>30.0</v>
      </c>
      <c r="CZ65" s="74" t="s">
        <v>361</v>
      </c>
      <c r="DA65" s="153">
        <f t="array" ref="DA65">IF(CY65&lt;CZ65,CY65,"")</f>
        <v>30</v>
      </c>
      <c r="DB65" s="49">
        <v>30.0</v>
      </c>
      <c r="DC65" s="49">
        <f>IFERROR(__xludf.DUMMYFUNCTION("""COMPUTED_VALUE"""),60.0)</f>
        <v>60</v>
      </c>
      <c r="DD65" s="49">
        <v>30.0</v>
      </c>
      <c r="DE65" s="49"/>
      <c r="DF65" s="49"/>
      <c r="DG65" s="49"/>
      <c r="DH65" s="49"/>
    </row>
    <row r="66" ht="13.5" customHeight="1">
      <c r="A66" s="118"/>
      <c r="B66" s="165"/>
      <c r="C66" s="165"/>
      <c r="D66" s="165"/>
      <c r="E66" s="165"/>
      <c r="F66" s="166"/>
      <c r="G66" s="167"/>
      <c r="H66" s="168"/>
      <c r="I66" s="167"/>
      <c r="J66" s="168"/>
      <c r="K66" s="167"/>
      <c r="L66" s="168"/>
      <c r="M66" s="167"/>
      <c r="N66" s="168"/>
      <c r="O66" s="167"/>
      <c r="P66" s="168"/>
      <c r="Q66" s="167"/>
      <c r="R66" s="168"/>
      <c r="S66" s="167"/>
      <c r="T66" s="168"/>
      <c r="U66" s="169"/>
      <c r="V66" s="168"/>
      <c r="W66" s="169"/>
      <c r="X66" s="168"/>
      <c r="Y66" s="167"/>
      <c r="Z66" s="168"/>
      <c r="AA66" s="167"/>
      <c r="AB66" s="166"/>
      <c r="AC66" s="165"/>
      <c r="AD66" s="168"/>
      <c r="AE66" s="170"/>
      <c r="AF66" s="171"/>
      <c r="AG66" s="113"/>
      <c r="AH66" s="113"/>
      <c r="AI66" s="113"/>
      <c r="AJ66" s="113"/>
      <c r="AK66" s="113"/>
      <c r="AL66" s="113"/>
      <c r="AM66" s="113"/>
      <c r="AN66" s="113"/>
      <c r="AO66" s="113"/>
      <c r="AP66" s="113"/>
      <c r="AQ66" s="113"/>
      <c r="AR66" s="113"/>
      <c r="AS66" s="113"/>
      <c r="AT66" s="113"/>
      <c r="AU66" s="113"/>
      <c r="AV66" s="113"/>
      <c r="AW66" s="113"/>
      <c r="AY66" s="146">
        <v>56.0</v>
      </c>
      <c r="AZ66" s="146"/>
      <c r="BA66" s="146">
        <v>56.0</v>
      </c>
      <c r="BB66" s="146"/>
      <c r="BC66" s="49">
        <v>56.0</v>
      </c>
      <c r="BD66" s="225">
        <v>55.0</v>
      </c>
      <c r="BE66" s="49">
        <v>56.0</v>
      </c>
      <c r="BF66" s="224">
        <v>56.0</v>
      </c>
      <c r="BG66" s="49">
        <v>56.0</v>
      </c>
      <c r="BH66" s="49">
        <v>56.0</v>
      </c>
      <c r="BI66" s="49"/>
      <c r="BJ66" s="49"/>
      <c r="BK66" s="49"/>
      <c r="BL66" s="49"/>
      <c r="BM66" s="178"/>
      <c r="BO66" s="175">
        <f>IF(BO65="","",BN65)</f>
        <v>31</v>
      </c>
      <c r="BP66" s="175">
        <v>31.0</v>
      </c>
      <c r="BQ66" s="197"/>
      <c r="BT66" s="175">
        <f>IF(BT65="","",BS65)</f>
        <v>32</v>
      </c>
      <c r="BU66" s="175">
        <v>32.0</v>
      </c>
      <c r="BV66" s="196"/>
      <c r="BW66" s="178"/>
      <c r="BY66" s="160" t="str">
        <f>IF(BY65="","",BX65)</f>
        <v> </v>
      </c>
      <c r="BZ66" s="160" t="str">
        <f t="shared" si="34"/>
        <v> </v>
      </c>
      <c r="CA66" s="200">
        <f>IFERROR(__xludf.DUMMYFUNCTION("""COMPUTED_VALUE"""),61.0)</f>
        <v>61</v>
      </c>
      <c r="CB66" s="74">
        <f t="shared" si="35"/>
        <v>61</v>
      </c>
      <c r="CC66" s="200"/>
      <c r="CD66" s="243"/>
      <c r="CG66" s="180" t="str">
        <f>IF(CG65="","",CF65)</f>
        <v> </v>
      </c>
      <c r="CH66" s="200" t="s">
        <v>361</v>
      </c>
      <c r="CI66" s="182">
        <f>IFERROR(__xludf.DUMMYFUNCTION("""COMPUTED_VALUE"""),61.0)</f>
        <v>61</v>
      </c>
      <c r="CJ66" s="49" t="s">
        <v>362</v>
      </c>
      <c r="CK66" s="235"/>
      <c r="CL66" s="180" t="str">
        <f>IF(CL65="","",CK65)</f>
        <v> </v>
      </c>
      <c r="CM66" s="49" t="s">
        <v>361</v>
      </c>
      <c r="CN66" s="49">
        <f>IFERROR(__xludf.DUMMYFUNCTION("""COMPUTED_VALUE"""),61.0)</f>
        <v>61</v>
      </c>
      <c r="CQ66" s="180" t="str">
        <f>IF(CQ65="","",CP65)</f>
        <v> </v>
      </c>
      <c r="CR66" s="49" t="s">
        <v>361</v>
      </c>
      <c r="CS66" s="234">
        <f>IFERROR(__xludf.DUMMYFUNCTION("""COMPUTED_VALUE"""),61.0)</f>
        <v>61</v>
      </c>
      <c r="CV66" s="180" t="str">
        <f>IF(CV65="","",CU65)</f>
        <v> </v>
      </c>
      <c r="CW66" s="49" t="s">
        <v>361</v>
      </c>
      <c r="CX66" s="49">
        <f>IFERROR(__xludf.DUMMYFUNCTION("""COMPUTED_VALUE"""),61.0)</f>
        <v>61</v>
      </c>
      <c r="DA66" s="180" t="str">
        <f>IF(DA65="","",CZ65)</f>
        <v> </v>
      </c>
      <c r="DB66" s="49" t="s">
        <v>361</v>
      </c>
      <c r="DC66" s="49">
        <f>IFERROR(__xludf.DUMMYFUNCTION("""COMPUTED_VALUE"""),61.0)</f>
        <v>61</v>
      </c>
      <c r="DD66" s="49" t="s">
        <v>362</v>
      </c>
      <c r="DE66" s="49"/>
      <c r="DF66" s="49"/>
      <c r="DG66" s="49"/>
      <c r="DH66" s="49"/>
    </row>
    <row r="67" ht="13.5" customHeight="1">
      <c r="A67" s="118"/>
      <c r="B67" s="187">
        <v>31.0</v>
      </c>
      <c r="C67" s="188" t="str">
        <f>(VLOOKUP($B67,'Пр.взв'!$D$6:$J$63,2,0))</f>
        <v>АБРОСИМОВ  Данила </v>
      </c>
      <c r="D67" s="189" t="str">
        <f>(VLOOKUP($B67,'Пр.взв'!$D$6:$J$63,5,0))</f>
        <v>КМС</v>
      </c>
      <c r="E67" s="190" t="str">
        <f>(VLOOKUP($B67,'Пр.взв'!$D$6:$M$63,8,0))</f>
        <v>Рязанская</v>
      </c>
      <c r="F67" s="130">
        <f>B65</f>
        <v>30</v>
      </c>
      <c r="G67" s="255"/>
      <c r="H67" s="132">
        <v>33.0</v>
      </c>
      <c r="I67" s="255"/>
      <c r="J67" s="133" t="str">
        <f>IF(H67="Х","Х",IF($AC67&lt;6," ","Х"))</f>
        <v> </v>
      </c>
      <c r="K67" s="134"/>
      <c r="L67" s="133" t="str">
        <f>IF(J67="Х","Х",IF(K67&lt;3," ",IF($AC67&lt;6," ","Х")))</f>
        <v> </v>
      </c>
      <c r="M67" s="134"/>
      <c r="N67" s="133" t="str">
        <f>IF(L67="Х","Х",IF(M67&lt;3," ",IF($AC67&lt;6," ","Х")))</f>
        <v> </v>
      </c>
      <c r="O67" s="134"/>
      <c r="P67" s="133" t="str">
        <f>IF(N67="Х","Х",IF(O67&lt;3," ",IF($AC67&lt;6," ","Х")))</f>
        <v> </v>
      </c>
      <c r="Q67" s="134"/>
      <c r="R67" s="133" t="str">
        <f>IF(P67="Х","Х",IF(Q67&lt;3," ",IF($AC67&lt;6," ","Х")))</f>
        <v> </v>
      </c>
      <c r="S67" s="134"/>
      <c r="T67" s="133" t="str">
        <f>IF(R67="Х","Х",IF(S67&lt;3," ",IF($AC67&lt;6," ","Х")))</f>
        <v> </v>
      </c>
      <c r="U67" s="135"/>
      <c r="V67" s="133" t="str">
        <f>IF(T67="Х","Х",IF(U67&lt;3," ",IF($AC67&lt;6," ","Х")))</f>
        <v> </v>
      </c>
      <c r="W67" s="135"/>
      <c r="X67" s="133" t="str">
        <f>IF(V67="А1",$AZ$7,IF(V67="Б2",$AZ$6,IF(V67="Б1",$BA$7,IF(V67="А2",$BA$6,IF(V67="Х","Х",IF(V67&lt;6," "," "))))))</f>
        <v> </v>
      </c>
      <c r="Y67" s="136"/>
      <c r="Z67" s="133" t="str">
        <f>IF(V67="Х","Х",IF(ISBLANK(Y67),"",IF(Y67&gt;2.5," ",IF(B67=BB$6,BB$7,BB$6))))</f>
        <v/>
      </c>
      <c r="AA67" s="136"/>
      <c r="AB67" s="240" t="str">
        <f>IF(H67="Х",F$5,IF(J67="Х",H$5,IF(L67="Х",J$5,IF(N67="Х",L$5,IF(P67="Х",N$5,IF(R67="Х",P$5,IF(T67="Х",R$5,IF(X67="Х",T$5,""))))))))</f>
        <v/>
      </c>
      <c r="AC67" s="138">
        <f>SUM(G67+I67+K67+M67+O67+Q67+S67+U67+Y67+AA67)</f>
        <v>0</v>
      </c>
      <c r="AD67" s="241" t="str">
        <f>AF67</f>
        <v>1-54</v>
      </c>
      <c r="AE67" s="140" t="str">
        <f>AD67</f>
        <v>1-54</v>
      </c>
      <c r="AF67" s="141" t="str">
        <f>COUNTIF(AG$6:AG$148,"&gt;"&amp;AG$6:AG$148)+1&amp;REPT("-"&amp;COUNTIF(AG$6:AG$148,"&gt;="&amp;AG$6:AG$148),COUNTIF(AG$6:AG$148,AG67)&gt;1)</f>
        <v>1-54</v>
      </c>
      <c r="AG67" s="142">
        <f>(AR67*100)+(AP67*10)-AC67</f>
        <v>1280</v>
      </c>
      <c r="AH67" s="143" t="str">
        <f>IF(OR(F67="Х",F67="св")," ",IF(AND(G67&gt;=0,G67&lt;3),"1"," "))</f>
        <v>1</v>
      </c>
      <c r="AI67" s="90" t="str">
        <f>IF(OR(H67="Х",H67="св")," ",IF(AND(I67&gt;=0,I67&lt;3),"1"," "))</f>
        <v>1</v>
      </c>
      <c r="AJ67" s="90" t="str">
        <f>IF(OR(J67="Х",J67="св")," ",IF(AND(K67&gt;=0,K67&lt;3),"1"," "))</f>
        <v>1</v>
      </c>
      <c r="AK67" s="90" t="str">
        <f>IF(OR(L67="Х",L67="св")," ",IF(AND(M67&gt;=0,M67&lt;3),"1"," "))</f>
        <v>1</v>
      </c>
      <c r="AL67" s="90" t="str">
        <f>IF(OR(N67="Х",N67="св")," ",IF(AND(O67&gt;=0,O67&lt;3),"1"," "))</f>
        <v>1</v>
      </c>
      <c r="AM67" s="90" t="str">
        <f>IF(OR(P67="Х",P67="св")," ",IF(AND(Q67&gt;=0,Q67&lt;3),"1"," "))</f>
        <v>1</v>
      </c>
      <c r="AN67" s="90" t="str">
        <f>IF(OR(R67="Х",R67="св")," ",IF(AND(S67&gt;=0,S67&lt;3),"1"," "))</f>
        <v>1</v>
      </c>
      <c r="AO67" s="90" t="str">
        <f>IF(OR(T67="Х",T67="св")," ",IF(AND(U67&gt;=0,U67&lt;3),"1"," "))</f>
        <v>1</v>
      </c>
      <c r="AP67" s="90">
        <f>COUNTIF(AH67:AO68,1)</f>
        <v>8</v>
      </c>
      <c r="AQ67" s="90">
        <f>AG67-AC67</f>
        <v>1280</v>
      </c>
      <c r="AR67" s="144">
        <f>IF(F67=0,0,IF(F67="Х",1,IF(H67="Х",2,IF(J67="Х",3,IF(L67="Х",4,IF(N67="Х",5,IF(P67="Х",6,IF(R67="Х",7,IF(T67="Х",8,IF(V67="Х",9,IF(Y67&gt;2.5,10,IF(AA67&gt;2.5,11,IF(AA67&gt;=0,12,IF(AA67=" ",0,))))))))))))))</f>
        <v>12</v>
      </c>
      <c r="AS67" s="90" t="str">
        <f>COUNTIF(AG$6:AG$134,"&gt;"&amp;AG$6:AG$134)+1&amp;REPT("-"&amp;COUNTIF(AG$6:AG$134,"&gt;="&amp;AG$6:AG$134),COUNTIF(AG$6:AG$134,AG67)&gt;1)</f>
        <v>1-54</v>
      </c>
      <c r="AT67" s="143" t="str">
        <f t="shared" ref="AT67:AW67" si="36">COUNTIF(AU$6:AU$134,"&gt;"&amp;AU$6:AU$134)+1&amp;REPT("-"&amp;COUNTIF(AU$6:AU$134,"&gt;="&amp;AU$6:AU$134),COUNTIF(AU$6:AU$134,AU67)&gt;1)</f>
        <v>1-64</v>
      </c>
      <c r="AU67" s="143" t="str">
        <f t="shared" si="36"/>
        <v>1-0</v>
      </c>
      <c r="AV67" s="143" t="str">
        <f t="shared" si="36"/>
        <v>1</v>
      </c>
      <c r="AW67" s="143" t="str">
        <f t="shared" si="36"/>
        <v>34</v>
      </c>
      <c r="AX67" s="145">
        <f>IF(X67="Х","Х",IF(Y67&lt;3,B67,"Х"))</f>
        <v>31</v>
      </c>
      <c r="AY67" s="146">
        <v>57.0</v>
      </c>
      <c r="AZ67" s="146"/>
      <c r="BA67" s="146">
        <v>57.0</v>
      </c>
      <c r="BB67" s="146"/>
      <c r="BC67" s="49">
        <v>57.0</v>
      </c>
      <c r="BD67" s="225">
        <v>56.0</v>
      </c>
      <c r="BE67" s="49">
        <v>57.0</v>
      </c>
      <c r="BF67" s="224">
        <v>55.0</v>
      </c>
      <c r="BG67" s="49">
        <v>57.0</v>
      </c>
      <c r="BH67" s="49">
        <v>57.0</v>
      </c>
      <c r="BI67" s="49"/>
      <c r="BJ67" s="49"/>
      <c r="BK67" s="49"/>
      <c r="BL67" s="49"/>
      <c r="BM67" s="195">
        <v>31.0</v>
      </c>
      <c r="BN67" s="196">
        <v>30.0</v>
      </c>
      <c r="BO67" s="153" t="str">
        <f>IF(BM67&lt;BN67,BM67,"")</f>
        <v/>
      </c>
      <c r="BP67" s="196" t="s">
        <v>362</v>
      </c>
      <c r="BQ67" s="197"/>
      <c r="BR67" s="198">
        <v>31.0</v>
      </c>
      <c r="BS67" s="196">
        <v>33.0</v>
      </c>
      <c r="BT67" s="175">
        <f>IF(BR67&lt;BS67,BR67,"")</f>
        <v>31</v>
      </c>
      <c r="BU67" s="196">
        <v>31.0</v>
      </c>
      <c r="BV67" s="196"/>
      <c r="BW67" s="199">
        <v>31.0</v>
      </c>
      <c r="BX67" s="74" t="s">
        <v>361</v>
      </c>
      <c r="BY67" s="160">
        <f t="array" ref="BY67">IF(BW67&lt;BX67,BW67,"")</f>
        <v>31</v>
      </c>
      <c r="BZ67" s="160">
        <f t="shared" si="34"/>
        <v>31</v>
      </c>
      <c r="CA67" s="74">
        <f>IFERROR(__xludf.DUMMYFUNCTION("""COMPUTED_VALUE"""),62.0)</f>
        <v>62</v>
      </c>
      <c r="CB67" s="74">
        <f t="shared" si="35"/>
        <v>62</v>
      </c>
      <c r="CC67" s="200"/>
      <c r="CD67" s="243"/>
      <c r="CE67" s="200">
        <v>31.0</v>
      </c>
      <c r="CF67" s="25" t="s">
        <v>361</v>
      </c>
      <c r="CG67" s="153">
        <f t="array" ref="CG67">IF(CE67&lt;CF67,CE67,"")</f>
        <v>31</v>
      </c>
      <c r="CH67" s="74">
        <v>31.0</v>
      </c>
      <c r="CI67" s="182">
        <f>IFERROR(__xludf.DUMMYFUNCTION("""COMPUTED_VALUE"""),62.0)</f>
        <v>62</v>
      </c>
      <c r="CJ67" s="93">
        <v>31.0</v>
      </c>
      <c r="CK67" s="233" t="s">
        <v>361</v>
      </c>
      <c r="CL67" s="153">
        <f t="array" ref="CL67">IF(CJ67&lt;CK67,CJ67,"")</f>
        <v>31</v>
      </c>
      <c r="CM67" s="49">
        <v>31.0</v>
      </c>
      <c r="CN67" s="49">
        <f>IFERROR(__xludf.DUMMYFUNCTION("""COMPUTED_VALUE"""),62.0)</f>
        <v>62</v>
      </c>
      <c r="CO67" s="74">
        <v>31.0</v>
      </c>
      <c r="CP67" s="200" t="s">
        <v>361</v>
      </c>
      <c r="CQ67" s="153">
        <f t="array" ref="CQ67">IF(CO67&lt;CP67,CO67,"")</f>
        <v>31</v>
      </c>
      <c r="CR67" s="93">
        <v>31.0</v>
      </c>
      <c r="CS67" s="234">
        <f>IFERROR(__xludf.DUMMYFUNCTION("""COMPUTED_VALUE"""),62.0)</f>
        <v>62</v>
      </c>
      <c r="CT67" s="200">
        <v>31.0</v>
      </c>
      <c r="CU67" s="74" t="s">
        <v>361</v>
      </c>
      <c r="CV67" s="153">
        <f t="array" ref="CV67">IF(CT67&lt;CU67,CT67,"")</f>
        <v>31</v>
      </c>
      <c r="CW67" s="49">
        <v>31.0</v>
      </c>
      <c r="CX67" s="49">
        <f>IFERROR(__xludf.DUMMYFUNCTION("""COMPUTED_VALUE"""),62.0)</f>
        <v>62</v>
      </c>
      <c r="CY67" s="49">
        <v>31.0</v>
      </c>
      <c r="CZ67" s="49" t="s">
        <v>361</v>
      </c>
      <c r="DA67" s="153">
        <f t="array" ref="DA67">IF(CY67&lt;CZ67,CY67,"")</f>
        <v>31</v>
      </c>
      <c r="DB67" s="49">
        <v>31.0</v>
      </c>
      <c r="DC67" s="49">
        <f>IFERROR(__xludf.DUMMYFUNCTION("""COMPUTED_VALUE"""),62.0)</f>
        <v>62</v>
      </c>
      <c r="DD67" s="49">
        <v>31.0</v>
      </c>
      <c r="DE67" s="49"/>
      <c r="DF67" s="49"/>
      <c r="DG67" s="49"/>
      <c r="DH67" s="49"/>
    </row>
    <row r="68" ht="13.5" customHeight="1">
      <c r="A68" s="118"/>
      <c r="B68" s="165"/>
      <c r="C68" s="165"/>
      <c r="D68" s="165"/>
      <c r="E68" s="165"/>
      <c r="F68" s="166"/>
      <c r="G68" s="167"/>
      <c r="H68" s="168"/>
      <c r="I68" s="167"/>
      <c r="J68" s="168"/>
      <c r="K68" s="167"/>
      <c r="L68" s="168"/>
      <c r="M68" s="167"/>
      <c r="N68" s="168"/>
      <c r="O68" s="167"/>
      <c r="P68" s="168"/>
      <c r="Q68" s="167"/>
      <c r="R68" s="168"/>
      <c r="S68" s="167"/>
      <c r="T68" s="168"/>
      <c r="U68" s="169"/>
      <c r="V68" s="168"/>
      <c r="W68" s="169"/>
      <c r="X68" s="168"/>
      <c r="Y68" s="167"/>
      <c r="Z68" s="168"/>
      <c r="AA68" s="167"/>
      <c r="AB68" s="166"/>
      <c r="AC68" s="165"/>
      <c r="AD68" s="168"/>
      <c r="AE68" s="170"/>
      <c r="AF68" s="171"/>
      <c r="AG68" s="113"/>
      <c r="AH68" s="113"/>
      <c r="AI68" s="113"/>
      <c r="AJ68" s="113"/>
      <c r="AK68" s="113"/>
      <c r="AL68" s="113"/>
      <c r="AM68" s="113"/>
      <c r="AN68" s="113"/>
      <c r="AO68" s="113"/>
      <c r="AP68" s="113"/>
      <c r="AQ68" s="113"/>
      <c r="AR68" s="113"/>
      <c r="AS68" s="113"/>
      <c r="AT68" s="113"/>
      <c r="AU68" s="113"/>
      <c r="AV68" s="113"/>
      <c r="AW68" s="113"/>
      <c r="AY68" s="146">
        <v>58.0</v>
      </c>
      <c r="AZ68" s="146"/>
      <c r="BA68" s="146">
        <v>58.0</v>
      </c>
      <c r="BB68" s="146"/>
      <c r="BC68" s="49">
        <v>58.0</v>
      </c>
      <c r="BD68" s="225">
        <v>57.0</v>
      </c>
      <c r="BE68" s="49">
        <v>58.0</v>
      </c>
      <c r="BF68" s="224">
        <v>58.0</v>
      </c>
      <c r="BG68" s="49">
        <v>58.0</v>
      </c>
      <c r="BH68" s="49">
        <v>58.0</v>
      </c>
      <c r="BI68" s="49"/>
      <c r="BJ68" s="49"/>
      <c r="BK68" s="49"/>
      <c r="BL68" s="49"/>
      <c r="BM68" s="178"/>
      <c r="BO68" s="175" t="str">
        <f>IF(BO67="","",BN67)</f>
        <v/>
      </c>
      <c r="BP68" s="175" t="s">
        <v>362</v>
      </c>
      <c r="BQ68" s="197"/>
      <c r="BT68" s="175">
        <f>IF(BT67="","",BS67)</f>
        <v>33</v>
      </c>
      <c r="BU68" s="175">
        <v>33.0</v>
      </c>
      <c r="BV68" s="196"/>
      <c r="BW68" s="178"/>
      <c r="BY68" s="160" t="str">
        <f>IF(BY67="","",BX67)</f>
        <v> </v>
      </c>
      <c r="BZ68" s="160" t="str">
        <f t="shared" si="34"/>
        <v> </v>
      </c>
      <c r="CA68" s="200">
        <f>IFERROR(__xludf.DUMMYFUNCTION("""COMPUTED_VALUE"""),63.0)</f>
        <v>63</v>
      </c>
      <c r="CB68" s="74">
        <f t="shared" si="35"/>
        <v>63</v>
      </c>
      <c r="CC68" s="200"/>
      <c r="CD68" s="243"/>
      <c r="CG68" s="180" t="str">
        <f>IF(CG67="","",CF67)</f>
        <v> </v>
      </c>
      <c r="CH68" s="200" t="s">
        <v>361</v>
      </c>
      <c r="CI68" s="182">
        <f>IFERROR(__xludf.DUMMYFUNCTION("""COMPUTED_VALUE"""),63.0)</f>
        <v>63</v>
      </c>
      <c r="CJ68" s="49" t="s">
        <v>362</v>
      </c>
      <c r="CK68" s="235"/>
      <c r="CL68" s="180" t="str">
        <f>IF(CL67="","",CK67)</f>
        <v> </v>
      </c>
      <c r="CM68" s="49" t="s">
        <v>361</v>
      </c>
      <c r="CN68" s="49">
        <f>IFERROR(__xludf.DUMMYFUNCTION("""COMPUTED_VALUE"""),63.0)</f>
        <v>63</v>
      </c>
      <c r="CQ68" s="180" t="str">
        <f>IF(CQ67="","",CP67)</f>
        <v> </v>
      </c>
      <c r="CR68" s="49" t="s">
        <v>361</v>
      </c>
      <c r="CS68" s="234">
        <f>IFERROR(__xludf.DUMMYFUNCTION("""COMPUTED_VALUE"""),63.0)</f>
        <v>63</v>
      </c>
      <c r="CV68" s="180" t="str">
        <f>IF(CV67="","",CU67)</f>
        <v> </v>
      </c>
      <c r="CW68" s="49" t="s">
        <v>361</v>
      </c>
      <c r="CX68" s="49">
        <f>IFERROR(__xludf.DUMMYFUNCTION("""COMPUTED_VALUE"""),63.0)</f>
        <v>63</v>
      </c>
      <c r="CY68" s="49" t="s">
        <v>362</v>
      </c>
      <c r="CZ68" s="49"/>
      <c r="DA68" s="180" t="str">
        <f>IF(DA67="","",CZ67)</f>
        <v> </v>
      </c>
      <c r="DB68" s="49" t="s">
        <v>361</v>
      </c>
      <c r="DC68" s="49">
        <f>IFERROR(__xludf.DUMMYFUNCTION("""COMPUTED_VALUE"""),63.0)</f>
        <v>63</v>
      </c>
      <c r="DD68" s="49" t="s">
        <v>362</v>
      </c>
      <c r="DE68" s="49"/>
      <c r="DF68" s="49"/>
      <c r="DG68" s="49"/>
      <c r="DH68" s="49"/>
    </row>
    <row r="69" ht="13.5" customHeight="1">
      <c r="A69" s="118"/>
      <c r="B69" s="187">
        <v>32.0</v>
      </c>
      <c r="C69" s="127" t="str">
        <f>(VLOOKUP($B69,'Пр.взв'!$D$6:$J$63,2,0))</f>
        <v>АКСЕНОВ Артем</v>
      </c>
      <c r="D69" s="189" t="str">
        <f>(VLOOKUP($B69,'Пр.взв'!$D$6:$J$63,5,0))</f>
        <v>КМС</v>
      </c>
      <c r="E69" s="190" t="str">
        <f>(VLOOKUP($B69,'Пр.взв'!$D$6:$M$63,8,0))</f>
        <v>Калининградская</v>
      </c>
      <c r="F69" s="130">
        <f>B71</f>
        <v>33</v>
      </c>
      <c r="G69" s="134"/>
      <c r="H69" s="132">
        <v>30.0</v>
      </c>
      <c r="I69" s="136"/>
      <c r="J69" s="133" t="str">
        <f>IF(H69="Х","Х",IF($AC69&lt;6," ","Х"))</f>
        <v> </v>
      </c>
      <c r="K69" s="134"/>
      <c r="L69" s="133" t="str">
        <f>IF(J69="Х","Х",IF(K69&lt;3," ",IF($AC69&lt;6," ","Х")))</f>
        <v> </v>
      </c>
      <c r="M69" s="134"/>
      <c r="N69" s="133" t="str">
        <f>IF(L69="Х","Х",IF(M69&lt;3," ",IF($AC69&lt;6," ","Х")))</f>
        <v> </v>
      </c>
      <c r="O69" s="134"/>
      <c r="P69" s="133" t="str">
        <f>IF(N69="Х","Х",IF(O69&lt;3," ",IF($AC69&lt;6," ","Х")))</f>
        <v> </v>
      </c>
      <c r="Q69" s="134"/>
      <c r="R69" s="133" t="str">
        <f>IF(P69="Х","Х",IF(Q69&lt;3," ",IF($AC69&lt;6," ","Х")))</f>
        <v> </v>
      </c>
      <c r="S69" s="134"/>
      <c r="T69" s="133" t="str">
        <f>IF(R69="Х","Х",IF(S69&lt;3," ",IF($AC69&lt;6," ","Х")))</f>
        <v> </v>
      </c>
      <c r="U69" s="135"/>
      <c r="V69" s="133" t="str">
        <f>IF(T69="Х","Х",IF(U69&lt;3," ",IF($AC69&lt;6," ","Х")))</f>
        <v> </v>
      </c>
      <c r="W69" s="135"/>
      <c r="X69" s="133" t="str">
        <f>IF(V69="А1",$AZ$7,IF(V69="Б2",$AZ$6,IF(V69="Б1",$BA$7,IF(V69="А2",$BA$6,IF(V69="Х","Х",IF(V69&lt;6," "," "))))))</f>
        <v> </v>
      </c>
      <c r="Y69" s="136"/>
      <c r="Z69" s="133" t="str">
        <f>IF(V69="Х","Х",IF(ISBLANK(Y69),"",IF(Y69&gt;2.5," ",IF(B69=BB$6,BB$7,BB$6))))</f>
        <v/>
      </c>
      <c r="AA69" s="136"/>
      <c r="AB69" s="240" t="str">
        <f>IF(H69="Х",F$5,IF(J69="Х",H$5,IF(L69="Х",J$5,IF(N69="Х",L$5,IF(P69="Х",N$5,IF(R69="Х",P$5,IF(T69="Х",R$5,IF(X69="Х",T$5,""))))))))</f>
        <v/>
      </c>
      <c r="AC69" s="138">
        <f>SUM(G69+I69+K69+M69+O69+Q69+S69+U69+Y69+AA69)</f>
        <v>0</v>
      </c>
      <c r="AD69" s="241" t="str">
        <f>AF69</f>
        <v>1-54</v>
      </c>
      <c r="AE69" s="140" t="str">
        <f>AD69</f>
        <v>1-54</v>
      </c>
      <c r="AF69" s="141" t="str">
        <f>COUNTIF(AG$6:AG$148,"&gt;"&amp;AG$6:AG$148)+1&amp;REPT("-"&amp;COUNTIF(AG$6:AG$148,"&gt;="&amp;AG$6:AG$148),COUNTIF(AG$6:AG$148,AG69)&gt;1)</f>
        <v>1-54</v>
      </c>
      <c r="AG69" s="142">
        <f>(AR69*100)+(AP69*10)-AC69</f>
        <v>1280</v>
      </c>
      <c r="AH69" s="143" t="str">
        <f>IF(OR(F69="Х",F69="св")," ",IF(AND(G69&gt;=0,G69&lt;3),"1"," "))</f>
        <v>1</v>
      </c>
      <c r="AI69" s="90" t="str">
        <f>IF(OR(H69="Х",H69="св")," ",IF(AND(I69&gt;=0,I69&lt;3),"1"," "))</f>
        <v>1</v>
      </c>
      <c r="AJ69" s="90" t="str">
        <f>IF(OR(J69="Х",J69="св")," ",IF(AND(K69&gt;=0,K69&lt;3),"1"," "))</f>
        <v>1</v>
      </c>
      <c r="AK69" s="90" t="str">
        <f>IF(OR(L69="Х",L69="св")," ",IF(AND(M69&gt;=0,M69&lt;3),"1"," "))</f>
        <v>1</v>
      </c>
      <c r="AL69" s="90" t="str">
        <f>IF(OR(N69="Х",N69="св")," ",IF(AND(O69&gt;=0,O69&lt;3),"1"," "))</f>
        <v>1</v>
      </c>
      <c r="AM69" s="90" t="str">
        <f>IF(OR(P69="Х",P69="св")," ",IF(AND(Q69&gt;=0,Q69&lt;3),"1"," "))</f>
        <v>1</v>
      </c>
      <c r="AN69" s="90" t="str">
        <f>IF(OR(R69="Х",R69="св")," ",IF(AND(S69&gt;=0,S69&lt;3),"1"," "))</f>
        <v>1</v>
      </c>
      <c r="AO69" s="90" t="str">
        <f>IF(OR(T69="Х",T69="св")," ",IF(AND(U69&gt;=0,U69&lt;3),"1"," "))</f>
        <v>1</v>
      </c>
      <c r="AP69" s="90">
        <f>COUNTIF(AH69:AO70,1)</f>
        <v>8</v>
      </c>
      <c r="AQ69" s="90">
        <f>AG69-AC69</f>
        <v>1280</v>
      </c>
      <c r="AR69" s="144">
        <f>IF(F69=0,0,IF(F69="Х",1,IF(H69="Х",2,IF(J69="Х",3,IF(L69="Х",4,IF(N69="Х",5,IF(P69="Х",6,IF(R69="Х",7,IF(T69="Х",8,IF(V69="Х",9,IF(Y69&gt;2.5,10,IF(AA69&gt;2.5,11,IF(AA69&gt;=0,12,IF(AA69=" ",0,))))))))))))))</f>
        <v>12</v>
      </c>
      <c r="AS69" s="90" t="str">
        <f>COUNTIF(AG$6:AG$134,"&gt;"&amp;AG$6:AG$134)+1&amp;REPT("-"&amp;COUNTIF(AG$6:AG$134,"&gt;="&amp;AG$6:AG$134),COUNTIF(AG$6:AG$134,AG69)&gt;1)</f>
        <v>1-54</v>
      </c>
      <c r="AT69" s="143" t="str">
        <f t="shared" ref="AT69:AW69" si="37">COUNTIF(AU$6:AU$134,"&gt;"&amp;AU$6:AU$134)+1&amp;REPT("-"&amp;COUNTIF(AU$6:AU$134,"&gt;="&amp;AU$6:AU$134),COUNTIF(AU$6:AU$134,AU69)&gt;1)</f>
        <v>1-64</v>
      </c>
      <c r="AU69" s="143" t="str">
        <f t="shared" si="37"/>
        <v>1-0</v>
      </c>
      <c r="AV69" s="143" t="str">
        <f t="shared" si="37"/>
        <v>1</v>
      </c>
      <c r="AW69" s="143" t="str">
        <f t="shared" si="37"/>
        <v>33</v>
      </c>
      <c r="AX69" s="145">
        <f>IF(X69="Х","Х",IF(Y69&lt;3,B69,"Х"))</f>
        <v>32</v>
      </c>
      <c r="AY69" s="146" t="s">
        <v>362</v>
      </c>
      <c r="AZ69" s="146"/>
      <c r="BA69" s="146" t="s">
        <v>362</v>
      </c>
      <c r="BB69" s="146"/>
      <c r="BC69" s="49" t="s">
        <v>362</v>
      </c>
      <c r="BD69" s="225">
        <v>58.0</v>
      </c>
      <c r="BE69" s="49" t="s">
        <v>362</v>
      </c>
      <c r="BF69" s="224">
        <v>57.0</v>
      </c>
      <c r="BG69" s="49" t="s">
        <v>362</v>
      </c>
      <c r="BH69" s="49" t="s">
        <v>362</v>
      </c>
      <c r="BI69" s="49"/>
      <c r="BJ69" s="49"/>
      <c r="BK69" s="49"/>
      <c r="BL69" s="49"/>
      <c r="BM69" s="195">
        <v>32.0</v>
      </c>
      <c r="BN69" s="196">
        <v>33.0</v>
      </c>
      <c r="BO69" s="153">
        <f>IF(BM69&lt;BN69,BM69,"")</f>
        <v>32</v>
      </c>
      <c r="BP69" s="196">
        <v>32.0</v>
      </c>
      <c r="BQ69" s="197"/>
      <c r="BR69" s="198">
        <v>32.0</v>
      </c>
      <c r="BS69" s="196">
        <v>30.0</v>
      </c>
      <c r="BT69" s="175" t="str">
        <f>IF(BR69&lt;BS69,BR69,"")</f>
        <v/>
      </c>
      <c r="BU69" s="196" t="s">
        <v>362</v>
      </c>
      <c r="BV69" s="196"/>
      <c r="BW69" s="199">
        <v>32.0</v>
      </c>
      <c r="BX69" s="74" t="s">
        <v>361</v>
      </c>
      <c r="BY69" s="160">
        <f t="array" ref="BY69">IF(BW69&lt;BX69,BW69,"")</f>
        <v>32</v>
      </c>
      <c r="BZ69" s="160">
        <f t="shared" si="34"/>
        <v>32</v>
      </c>
      <c r="CA69" s="74">
        <f>IFERROR(__xludf.DUMMYFUNCTION("""COMPUTED_VALUE"""),64.0)</f>
        <v>64</v>
      </c>
      <c r="CB69" s="74">
        <f t="shared" si="35"/>
        <v>64</v>
      </c>
      <c r="CC69" s="200"/>
      <c r="CD69" s="243"/>
      <c r="CE69" s="200">
        <v>32.0</v>
      </c>
      <c r="CF69" s="25" t="s">
        <v>361</v>
      </c>
      <c r="CG69" s="153">
        <f t="array" ref="CG69">IF(CE69&lt;CF69,CE69,"")</f>
        <v>32</v>
      </c>
      <c r="CH69" s="74">
        <v>32.0</v>
      </c>
      <c r="CI69" s="182">
        <f>IFERROR(__xludf.DUMMYFUNCTION("""COMPUTED_VALUE"""),64.0)</f>
        <v>64</v>
      </c>
      <c r="CJ69" s="93">
        <v>32.0</v>
      </c>
      <c r="CK69" s="233" t="s">
        <v>361</v>
      </c>
      <c r="CL69" s="153">
        <f t="array" ref="CL69">IF(CJ69&lt;CK69,CJ69,"")</f>
        <v>32</v>
      </c>
      <c r="CM69" s="49">
        <v>32.0</v>
      </c>
      <c r="CN69" s="49">
        <f>IFERROR(__xludf.DUMMYFUNCTION("""COMPUTED_VALUE"""),64.0)</f>
        <v>64</v>
      </c>
      <c r="CO69" s="74">
        <v>32.0</v>
      </c>
      <c r="CP69" s="200" t="s">
        <v>361</v>
      </c>
      <c r="CQ69" s="153">
        <f t="array" ref="CQ69">IF(CO69&lt;CP69,CO69,"")</f>
        <v>32</v>
      </c>
      <c r="CR69" s="93">
        <v>32.0</v>
      </c>
      <c r="CS69" s="234">
        <f>IFERROR(__xludf.DUMMYFUNCTION("""COMPUTED_VALUE"""),64.0)</f>
        <v>64</v>
      </c>
      <c r="CT69" s="200">
        <v>32.0</v>
      </c>
      <c r="CU69" s="74" t="s">
        <v>361</v>
      </c>
      <c r="CV69" s="153">
        <f t="array" ref="CV69">IF(CT69&lt;CU69,CT69,"")</f>
        <v>32</v>
      </c>
      <c r="CW69" s="49">
        <v>32.0</v>
      </c>
      <c r="CX69" s="49">
        <f>IFERROR(__xludf.DUMMYFUNCTION("""COMPUTED_VALUE"""),64.0)</f>
        <v>64</v>
      </c>
      <c r="CY69" s="49">
        <v>32.0</v>
      </c>
      <c r="CZ69" s="49" t="s">
        <v>361</v>
      </c>
      <c r="DA69" s="153">
        <f t="array" ref="DA69">IF(CY69&lt;CZ69,CY69,"")</f>
        <v>32</v>
      </c>
      <c r="DB69" s="49">
        <v>32.0</v>
      </c>
      <c r="DC69" s="49">
        <f>IFERROR(__xludf.DUMMYFUNCTION("""COMPUTED_VALUE"""),64.0)</f>
        <v>64</v>
      </c>
      <c r="DD69" s="49">
        <v>32.0</v>
      </c>
      <c r="DE69" s="49"/>
      <c r="DF69" s="49"/>
      <c r="DG69" s="49"/>
      <c r="DH69" s="49"/>
    </row>
    <row r="70" ht="13.5" customHeight="1">
      <c r="A70" s="118"/>
      <c r="B70" s="165"/>
      <c r="C70" s="165"/>
      <c r="D70" s="165"/>
      <c r="E70" s="165"/>
      <c r="F70" s="166"/>
      <c r="G70" s="167"/>
      <c r="H70" s="168"/>
      <c r="I70" s="167"/>
      <c r="J70" s="168"/>
      <c r="K70" s="167"/>
      <c r="L70" s="168"/>
      <c r="M70" s="167"/>
      <c r="N70" s="168"/>
      <c r="O70" s="167"/>
      <c r="P70" s="168"/>
      <c r="Q70" s="167"/>
      <c r="R70" s="168"/>
      <c r="S70" s="167"/>
      <c r="T70" s="168"/>
      <c r="U70" s="169"/>
      <c r="V70" s="168"/>
      <c r="W70" s="169"/>
      <c r="X70" s="168"/>
      <c r="Y70" s="167"/>
      <c r="Z70" s="168"/>
      <c r="AA70" s="167"/>
      <c r="AB70" s="166"/>
      <c r="AC70" s="165"/>
      <c r="AD70" s="168"/>
      <c r="AE70" s="170"/>
      <c r="AF70" s="171"/>
      <c r="AG70" s="113"/>
      <c r="AH70" s="113"/>
      <c r="AI70" s="113"/>
      <c r="AJ70" s="113"/>
      <c r="AK70" s="113"/>
      <c r="AL70" s="113"/>
      <c r="AM70" s="113"/>
      <c r="AN70" s="113"/>
      <c r="AO70" s="113"/>
      <c r="AP70" s="113"/>
      <c r="AQ70" s="113"/>
      <c r="AR70" s="113"/>
      <c r="AS70" s="113"/>
      <c r="AT70" s="113"/>
      <c r="AU70" s="113"/>
      <c r="AV70" s="113"/>
      <c r="AW70" s="113"/>
      <c r="AY70" s="146" t="s">
        <v>362</v>
      </c>
      <c r="AZ70" s="146"/>
      <c r="BA70" s="146" t="s">
        <v>362</v>
      </c>
      <c r="BB70" s="146"/>
      <c r="BC70" s="49" t="s">
        <v>362</v>
      </c>
      <c r="BD70" s="225">
        <v>0.0</v>
      </c>
      <c r="BE70" s="49" t="s">
        <v>362</v>
      </c>
      <c r="BF70" s="224">
        <v>0.0</v>
      </c>
      <c r="BG70" s="49" t="s">
        <v>362</v>
      </c>
      <c r="BH70" s="49" t="s">
        <v>362</v>
      </c>
      <c r="BI70" s="49"/>
      <c r="BJ70" s="49"/>
      <c r="BK70" s="49"/>
      <c r="BL70" s="49"/>
      <c r="BM70" s="178"/>
      <c r="BO70" s="175">
        <f>IF(BO69="","",BN69)</f>
        <v>33</v>
      </c>
      <c r="BP70" s="175">
        <v>33.0</v>
      </c>
      <c r="BQ70" s="197"/>
      <c r="BT70" s="175" t="str">
        <f>IF(BT69="","",BS69)</f>
        <v/>
      </c>
      <c r="BU70" s="175" t="s">
        <v>362</v>
      </c>
      <c r="BV70" s="196"/>
      <c r="BW70" s="178"/>
      <c r="BY70" s="160" t="str">
        <f>IF(BY69="","",BX69)</f>
        <v> </v>
      </c>
      <c r="BZ70" s="160" t="str">
        <f t="shared" si="34"/>
        <v> </v>
      </c>
      <c r="CA70" s="200">
        <f>IFERROR(__xludf.DUMMYFUNCTION("""COMPUTED_VALUE"""),65.0)</f>
        <v>65</v>
      </c>
      <c r="CB70" s="74">
        <f t="shared" si="35"/>
        <v>65</v>
      </c>
      <c r="CC70" s="200"/>
      <c r="CD70" s="243"/>
      <c r="CG70" s="180" t="str">
        <f>IF(CG69="","",CF69)</f>
        <v> </v>
      </c>
      <c r="CH70" s="200" t="s">
        <v>361</v>
      </c>
      <c r="CI70" s="182">
        <f>IFERROR(__xludf.DUMMYFUNCTION("""COMPUTED_VALUE"""),65.0)</f>
        <v>65</v>
      </c>
      <c r="CJ70" s="49" t="s">
        <v>362</v>
      </c>
      <c r="CK70" s="235"/>
      <c r="CL70" s="180" t="str">
        <f>IF(CL69="","",CK69)</f>
        <v> </v>
      </c>
      <c r="CM70" s="49" t="s">
        <v>361</v>
      </c>
      <c r="CN70" s="49">
        <f>IFERROR(__xludf.DUMMYFUNCTION("""COMPUTED_VALUE"""),65.0)</f>
        <v>65</v>
      </c>
      <c r="CQ70" s="180" t="str">
        <f>IF(CQ69="","",CP69)</f>
        <v> </v>
      </c>
      <c r="CR70" s="49" t="s">
        <v>361</v>
      </c>
      <c r="CS70" s="234">
        <f>IFERROR(__xludf.DUMMYFUNCTION("""COMPUTED_VALUE"""),65.0)</f>
        <v>65</v>
      </c>
      <c r="CV70" s="180" t="str">
        <f>IF(CV69="","",CU69)</f>
        <v> </v>
      </c>
      <c r="CW70" s="49" t="s">
        <v>361</v>
      </c>
      <c r="CX70" s="49">
        <f>IFERROR(__xludf.DUMMYFUNCTION("""COMPUTED_VALUE"""),65.0)</f>
        <v>65</v>
      </c>
      <c r="CY70" s="49" t="s">
        <v>362</v>
      </c>
      <c r="CZ70" s="49"/>
      <c r="DA70" s="180" t="str">
        <f>IF(DA69="","",CZ69)</f>
        <v> </v>
      </c>
      <c r="DB70" s="49" t="s">
        <v>361</v>
      </c>
      <c r="DC70" s="49">
        <f>IFERROR(__xludf.DUMMYFUNCTION("""COMPUTED_VALUE"""),65.0)</f>
        <v>65</v>
      </c>
      <c r="DD70" s="49" t="s">
        <v>362</v>
      </c>
      <c r="DE70" s="49"/>
      <c r="DF70" s="49"/>
      <c r="DG70" s="49"/>
      <c r="DH70" s="49"/>
    </row>
    <row r="71" ht="13.5" customHeight="1">
      <c r="A71" s="118"/>
      <c r="B71" s="187">
        <v>33.0</v>
      </c>
      <c r="C71" s="188" t="str">
        <f>(VLOOKUP($B71,'Пр.взв'!$D$6:$J$63,2,0))</f>
        <v>АБДУЛМЕДЖИДОВ Ахмед </v>
      </c>
      <c r="D71" s="189" t="str">
        <f>(VLOOKUP($B71,'Пр.взв'!$D$6:$J$63,5,0))</f>
        <v>КМС</v>
      </c>
      <c r="E71" s="190" t="str">
        <f>(VLOOKUP($B71,'Пр.взв'!$D$6:$M$63,8,0))</f>
        <v>Москва</v>
      </c>
      <c r="F71" s="130">
        <f>B69</f>
        <v>32</v>
      </c>
      <c r="G71" s="255"/>
      <c r="H71" s="132">
        <v>31.0</v>
      </c>
      <c r="I71" s="255"/>
      <c r="J71" s="133" t="str">
        <f>IF(H71="Х","Х",IF($AC71&lt;6," ","Х"))</f>
        <v> </v>
      </c>
      <c r="K71" s="134"/>
      <c r="L71" s="133" t="str">
        <f>IF(J71="Х","Х",IF(K71&lt;3," ",IF($AC71&lt;6," ","Х")))</f>
        <v> </v>
      </c>
      <c r="M71" s="134"/>
      <c r="N71" s="133" t="str">
        <f>IF(L71="Х","Х",IF(M71&lt;3," ",IF($AC71&lt;6," ","Х")))</f>
        <v> </v>
      </c>
      <c r="O71" s="134"/>
      <c r="P71" s="133" t="str">
        <f>IF(N71="Х","Х",IF(O71&lt;3," ",IF($AC71&lt;6," ","Х")))</f>
        <v> </v>
      </c>
      <c r="Q71" s="134"/>
      <c r="R71" s="133" t="str">
        <f>IF(P71="Х","Х",IF(Q71&lt;3," ",IF($AC71&lt;6," ","Х")))</f>
        <v> </v>
      </c>
      <c r="S71" s="134"/>
      <c r="T71" s="133" t="str">
        <f>IF(R71="Х","Х",IF(S71&lt;3," ",IF($AC71&lt;6," ","Х")))</f>
        <v> </v>
      </c>
      <c r="U71" s="135"/>
      <c r="V71" s="133" t="str">
        <f>IF(T71="Х","Х",IF(U71&lt;3," ",IF($AC71&lt;6," ","Х")))</f>
        <v> </v>
      </c>
      <c r="W71" s="135"/>
      <c r="X71" s="133" t="str">
        <f>IF(V71="А1",$AZ$7,IF(V71="Б2",$AZ$6,IF(V71="Б1",$BA$7,IF(V71="А2",$BA$6,IF(V71="Х","Х",IF(V71&lt;6," "," "))))))</f>
        <v> </v>
      </c>
      <c r="Y71" s="136"/>
      <c r="Z71" s="133" t="str">
        <f>IF(V71="Х","Х",IF(ISBLANK(Y71),"",IF(Y71&gt;2.5," ",IF(B71=BB$6,BB$7,BB$6))))</f>
        <v/>
      </c>
      <c r="AA71" s="136"/>
      <c r="AB71" s="240" t="str">
        <f>IF(H71="Х",F$5,IF(J71="Х",H$5,IF(L71="Х",J$5,IF(N71="Х",L$5,IF(P71="Х",N$5,IF(R71="Х",P$5,IF(T71="Х",R$5,IF(X71="Х",T$5,""))))))))</f>
        <v/>
      </c>
      <c r="AC71" s="138">
        <f>SUM(G71+I71+K71+M71+O71+Q71+S71+U71+Y71+AA71)</f>
        <v>0</v>
      </c>
      <c r="AD71" s="241" t="str">
        <f>AF71</f>
        <v>1-54</v>
      </c>
      <c r="AE71" s="140" t="str">
        <f>AD71</f>
        <v>1-54</v>
      </c>
      <c r="AF71" s="141" t="str">
        <f>COUNTIF(AG$6:AG$148,"&gt;"&amp;AG$6:AG$148)+1&amp;REPT("-"&amp;COUNTIF(AG$6:AG$148,"&gt;="&amp;AG$6:AG$148),COUNTIF(AG$6:AG$148,AG71)&gt;1)</f>
        <v>1-54</v>
      </c>
      <c r="AG71" s="142">
        <f>(AR71*100)+(AP71*10)-AC71</f>
        <v>1280</v>
      </c>
      <c r="AH71" s="143" t="str">
        <f>IF(OR(F71="Х",F71="св")," ",IF(AND(G71&gt;=0,G71&lt;3),"1"," "))</f>
        <v>1</v>
      </c>
      <c r="AI71" s="90" t="str">
        <f>IF(OR(H71="Х",H71="св")," ",IF(AND(I71&gt;=0,I71&lt;3),"1"," "))</f>
        <v>1</v>
      </c>
      <c r="AJ71" s="90" t="str">
        <f>IF(OR(J71="Х",J71="св")," ",IF(AND(K71&gt;=0,K71&lt;3),"1"," "))</f>
        <v>1</v>
      </c>
      <c r="AK71" s="90" t="str">
        <f>IF(OR(L71="Х",L71="св")," ",IF(AND(M71&gt;=0,M71&lt;3),"1"," "))</f>
        <v>1</v>
      </c>
      <c r="AL71" s="90" t="str">
        <f>IF(OR(N71="Х",N71="св")," ",IF(AND(O71&gt;=0,O71&lt;3),"1"," "))</f>
        <v>1</v>
      </c>
      <c r="AM71" s="90" t="str">
        <f>IF(OR(P71="Х",P71="св")," ",IF(AND(Q71&gt;=0,Q71&lt;3),"1"," "))</f>
        <v>1</v>
      </c>
      <c r="AN71" s="90" t="str">
        <f>IF(OR(R71="Х",R71="св")," ",IF(AND(S71&gt;=0,S71&lt;3),"1"," "))</f>
        <v>1</v>
      </c>
      <c r="AO71" s="90" t="str">
        <f>IF(OR(T71="Х",T71="св")," ",IF(AND(U71&gt;=0,U71&lt;3),"1"," "))</f>
        <v>1</v>
      </c>
      <c r="AP71" s="90">
        <f>COUNTIF(AH71:AO72,1)</f>
        <v>8</v>
      </c>
      <c r="AQ71" s="90">
        <f>AG71-AC71</f>
        <v>1280</v>
      </c>
      <c r="AR71" s="144">
        <f>IF(F71=0,0,IF(F71="Х",1,IF(H71="Х",2,IF(J71="Х",3,IF(L71="Х",4,IF(N71="Х",5,IF(P71="Х",6,IF(R71="Х",7,IF(T71="Х",8,IF(V71="Х",9,IF(Y71&gt;2.5,10,IF(AA71&gt;2.5,11,IF(AA71&gt;=0,12,IF(AA71=" ",0,))))))))))))))</f>
        <v>12</v>
      </c>
      <c r="AS71" s="90" t="str">
        <f>COUNTIF(AG$6:AG$134,"&gt;"&amp;AG$6:AG$134)+1&amp;REPT("-"&amp;COUNTIF(AG$6:AG$134,"&gt;="&amp;AG$6:AG$134),COUNTIF(AG$6:AG$134,AG71)&gt;1)</f>
        <v>1-54</v>
      </c>
      <c r="AT71" s="143" t="str">
        <f t="shared" ref="AT71:AW71" si="38">COUNTIF(AU$6:AU$134,"&gt;"&amp;AU$6:AU$134)+1&amp;REPT("-"&amp;COUNTIF(AU$6:AU$134,"&gt;="&amp;AU$6:AU$134),COUNTIF(AU$6:AU$134,AU71)&gt;1)</f>
        <v>1-64</v>
      </c>
      <c r="AU71" s="143" t="str">
        <f t="shared" si="38"/>
        <v>1-0</v>
      </c>
      <c r="AV71" s="143" t="str">
        <f t="shared" si="38"/>
        <v>1</v>
      </c>
      <c r="AW71" s="143" t="str">
        <f t="shared" si="38"/>
        <v>32</v>
      </c>
      <c r="AX71" s="145">
        <f>IF(X71="Х","Х",IF(Y71&lt;3,B71,"Х"))</f>
        <v>33</v>
      </c>
      <c r="AY71" s="146" t="s">
        <v>362</v>
      </c>
      <c r="AZ71" s="146"/>
      <c r="BA71" s="146" t="s">
        <v>362</v>
      </c>
      <c r="BB71" s="146"/>
      <c r="BC71" s="49" t="s">
        <v>362</v>
      </c>
      <c r="BD71" s="225"/>
      <c r="BE71" s="49" t="s">
        <v>362</v>
      </c>
      <c r="BF71" s="224"/>
      <c r="BG71" s="49" t="s">
        <v>362</v>
      </c>
      <c r="BH71" s="49" t="s">
        <v>362</v>
      </c>
      <c r="BI71" s="49"/>
      <c r="BJ71" s="49"/>
      <c r="BK71" s="49"/>
      <c r="BL71" s="49"/>
      <c r="BM71" s="195">
        <v>33.0</v>
      </c>
      <c r="BN71" s="196">
        <v>32.0</v>
      </c>
      <c r="BO71" s="153" t="str">
        <f>IF(BM71&lt;BN71,BM71,"")</f>
        <v/>
      </c>
      <c r="BP71" s="196" t="s">
        <v>362</v>
      </c>
      <c r="BQ71" s="197"/>
      <c r="BR71" s="198">
        <v>33.0</v>
      </c>
      <c r="BS71" s="196">
        <v>31.0</v>
      </c>
      <c r="BT71" s="175" t="str">
        <f>IF(BR71&lt;BS71,BR71,"")</f>
        <v/>
      </c>
      <c r="BU71" s="196" t="s">
        <v>362</v>
      </c>
      <c r="BV71" s="196"/>
      <c r="BW71" s="199">
        <v>33.0</v>
      </c>
      <c r="BX71" s="74" t="s">
        <v>361</v>
      </c>
      <c r="BY71" s="160">
        <f t="array" ref="BY71">IF(BW71&lt;BX71,BW71,"")</f>
        <v>33</v>
      </c>
      <c r="BZ71" s="160">
        <f t="shared" si="34"/>
        <v>33</v>
      </c>
      <c r="CA71" s="74">
        <f>IFERROR(__xludf.DUMMYFUNCTION("""COMPUTED_VALUE"""),66.0)</f>
        <v>66</v>
      </c>
      <c r="CB71" s="74">
        <f t="shared" si="35"/>
        <v>66</v>
      </c>
      <c r="CC71" s="200"/>
      <c r="CD71" s="243"/>
      <c r="CE71" s="200">
        <v>33.0</v>
      </c>
      <c r="CF71" s="25" t="s">
        <v>361</v>
      </c>
      <c r="CG71" s="153">
        <f t="array" ref="CG71">IF(CE71&lt;CF71,CE71,"")</f>
        <v>33</v>
      </c>
      <c r="CH71" s="74">
        <v>33.0</v>
      </c>
      <c r="CI71" s="182">
        <f>IFERROR(__xludf.DUMMYFUNCTION("""COMPUTED_VALUE"""),66.0)</f>
        <v>66</v>
      </c>
      <c r="CJ71" s="93">
        <v>33.0</v>
      </c>
      <c r="CK71" s="233" t="s">
        <v>361</v>
      </c>
      <c r="CL71" s="153">
        <f t="array" ref="CL71">IF(CJ71&lt;CK71,CJ71,"")</f>
        <v>33</v>
      </c>
      <c r="CM71" s="49">
        <v>33.0</v>
      </c>
      <c r="CN71" s="49">
        <f>IFERROR(__xludf.DUMMYFUNCTION("""COMPUTED_VALUE"""),66.0)</f>
        <v>66</v>
      </c>
      <c r="CO71" s="74">
        <v>33.0</v>
      </c>
      <c r="CP71" s="200" t="s">
        <v>361</v>
      </c>
      <c r="CQ71" s="153">
        <f t="array" ref="CQ71">IF(CO71&lt;CP71,CO71,"")</f>
        <v>33</v>
      </c>
      <c r="CR71" s="93">
        <v>33.0</v>
      </c>
      <c r="CS71" s="234">
        <f>IFERROR(__xludf.DUMMYFUNCTION("""COMPUTED_VALUE"""),66.0)</f>
        <v>66</v>
      </c>
      <c r="CT71" s="200">
        <v>33.0</v>
      </c>
      <c r="CU71" s="74" t="s">
        <v>361</v>
      </c>
      <c r="CV71" s="153">
        <f t="array" ref="CV71">IF(CT71&lt;CU71,CT71,"")</f>
        <v>33</v>
      </c>
      <c r="CW71" s="49">
        <v>33.0</v>
      </c>
      <c r="CX71" s="49">
        <f>IFERROR(__xludf.DUMMYFUNCTION("""COMPUTED_VALUE"""),66.0)</f>
        <v>66</v>
      </c>
      <c r="CY71" s="49">
        <v>33.0</v>
      </c>
      <c r="CZ71" s="49" t="s">
        <v>361</v>
      </c>
      <c r="DA71" s="153">
        <f t="array" ref="DA71">IF(CY71&lt;CZ71,CY71,"")</f>
        <v>33</v>
      </c>
      <c r="DB71" s="49">
        <v>33.0</v>
      </c>
      <c r="DC71" s="49">
        <f>IFERROR(__xludf.DUMMYFUNCTION("""COMPUTED_VALUE"""),66.0)</f>
        <v>66</v>
      </c>
      <c r="DD71" s="49">
        <v>33.0</v>
      </c>
      <c r="DE71" s="49"/>
      <c r="DF71" s="49"/>
      <c r="DG71" s="49"/>
      <c r="DH71" s="49"/>
    </row>
    <row r="72" ht="13.5" customHeight="1">
      <c r="A72" s="118"/>
      <c r="B72" s="165"/>
      <c r="C72" s="165"/>
      <c r="D72" s="165"/>
      <c r="E72" s="165"/>
      <c r="F72" s="166"/>
      <c r="G72" s="167"/>
      <c r="H72" s="168"/>
      <c r="I72" s="167"/>
      <c r="J72" s="168"/>
      <c r="K72" s="167"/>
      <c r="L72" s="168"/>
      <c r="M72" s="167"/>
      <c r="N72" s="168"/>
      <c r="O72" s="167"/>
      <c r="P72" s="168"/>
      <c r="Q72" s="167"/>
      <c r="R72" s="168"/>
      <c r="S72" s="167"/>
      <c r="T72" s="168"/>
      <c r="U72" s="169"/>
      <c r="V72" s="168"/>
      <c r="W72" s="169"/>
      <c r="X72" s="168"/>
      <c r="Y72" s="167"/>
      <c r="Z72" s="168"/>
      <c r="AA72" s="167"/>
      <c r="AB72" s="166"/>
      <c r="AC72" s="165"/>
      <c r="AD72" s="168"/>
      <c r="AE72" s="170"/>
      <c r="AF72" s="171"/>
      <c r="AG72" s="113"/>
      <c r="AH72" s="113"/>
      <c r="AI72" s="113"/>
      <c r="AJ72" s="113"/>
      <c r="AK72" s="113"/>
      <c r="AL72" s="113"/>
      <c r="AM72" s="113"/>
      <c r="AN72" s="113"/>
      <c r="AO72" s="113"/>
      <c r="AP72" s="113"/>
      <c r="AQ72" s="113"/>
      <c r="AR72" s="113"/>
      <c r="AS72" s="113"/>
      <c r="AT72" s="113"/>
      <c r="AU72" s="113"/>
      <c r="AV72" s="113"/>
      <c r="AW72" s="113"/>
      <c r="AY72" s="146" t="s">
        <v>362</v>
      </c>
      <c r="AZ72" s="146"/>
      <c r="BA72" s="146" t="s">
        <v>362</v>
      </c>
      <c r="BB72" s="146"/>
      <c r="BC72" s="49" t="s">
        <v>362</v>
      </c>
      <c r="BD72" s="225"/>
      <c r="BE72" s="49" t="s">
        <v>362</v>
      </c>
      <c r="BF72" s="224"/>
      <c r="BG72" s="49" t="s">
        <v>362</v>
      </c>
      <c r="BH72" s="49" t="s">
        <v>362</v>
      </c>
      <c r="BI72" s="49"/>
      <c r="BJ72" s="49"/>
      <c r="BK72" s="49"/>
      <c r="BL72" s="49"/>
      <c r="BM72" s="178"/>
      <c r="BO72" s="175" t="str">
        <f>IF(BO71="","",BN71)</f>
        <v/>
      </c>
      <c r="BP72" s="175" t="s">
        <v>362</v>
      </c>
      <c r="BQ72" s="197"/>
      <c r="BT72" s="175" t="str">
        <f>IF(BT71="","",BS71)</f>
        <v/>
      </c>
      <c r="BU72" s="175" t="s">
        <v>362</v>
      </c>
      <c r="BV72" s="196"/>
      <c r="BW72" s="178"/>
      <c r="BY72" s="160" t="str">
        <f>IF(BY71="","",BX71)</f>
        <v> </v>
      </c>
      <c r="BZ72" s="160" t="str">
        <f t="shared" si="34"/>
        <v> </v>
      </c>
      <c r="CA72" s="200">
        <f>IFERROR(__xludf.DUMMYFUNCTION("""COMPUTED_VALUE"""),67.0)</f>
        <v>67</v>
      </c>
      <c r="CB72" s="74">
        <f t="shared" si="35"/>
        <v>67</v>
      </c>
      <c r="CC72" s="200"/>
      <c r="CD72" s="243"/>
      <c r="CG72" s="180" t="str">
        <f>IF(CG71="","",CF71)</f>
        <v> </v>
      </c>
      <c r="CH72" s="200" t="s">
        <v>361</v>
      </c>
      <c r="CI72" s="182">
        <f>IFERROR(__xludf.DUMMYFUNCTION("""COMPUTED_VALUE"""),67.0)</f>
        <v>67</v>
      </c>
      <c r="CJ72" s="49" t="s">
        <v>362</v>
      </c>
      <c r="CK72" s="235"/>
      <c r="CL72" s="180" t="str">
        <f>IF(CL71="","",CK71)</f>
        <v> </v>
      </c>
      <c r="CM72" s="49" t="s">
        <v>361</v>
      </c>
      <c r="CN72" s="49">
        <f>IFERROR(__xludf.DUMMYFUNCTION("""COMPUTED_VALUE"""),67.0)</f>
        <v>67</v>
      </c>
      <c r="CQ72" s="180" t="str">
        <f>IF(CQ71="","",CP71)</f>
        <v> </v>
      </c>
      <c r="CR72" s="49" t="s">
        <v>361</v>
      </c>
      <c r="CS72" s="234">
        <f>IFERROR(__xludf.DUMMYFUNCTION("""COMPUTED_VALUE"""),67.0)</f>
        <v>67</v>
      </c>
      <c r="CV72" s="180" t="str">
        <f>IF(CV71="","",CU71)</f>
        <v> </v>
      </c>
      <c r="CW72" s="49" t="s">
        <v>361</v>
      </c>
      <c r="CX72" s="49">
        <f>IFERROR(__xludf.DUMMYFUNCTION("""COMPUTED_VALUE"""),67.0)</f>
        <v>67</v>
      </c>
      <c r="CY72" s="49" t="s">
        <v>362</v>
      </c>
      <c r="CZ72" s="49"/>
      <c r="DA72" s="180" t="str">
        <f>IF(DA71="","",CZ71)</f>
        <v> </v>
      </c>
      <c r="DB72" s="49" t="s">
        <v>361</v>
      </c>
      <c r="DC72" s="49">
        <f>IFERROR(__xludf.DUMMYFUNCTION("""COMPUTED_VALUE"""),67.0)</f>
        <v>67</v>
      </c>
      <c r="DD72" s="49" t="s">
        <v>362</v>
      </c>
      <c r="DE72" s="49"/>
      <c r="DF72" s="49"/>
      <c r="DG72" s="49"/>
      <c r="DH72" s="49"/>
    </row>
    <row r="73" ht="13.5" customHeight="1">
      <c r="A73" s="54"/>
      <c r="B73" s="187">
        <v>34.0</v>
      </c>
      <c r="C73" s="188" t="str">
        <f>(VLOOKUP($B73,'Пр.взв'!$D$6:$J$63,2,0))</f>
        <v>ГУЦУЛ Владислав </v>
      </c>
      <c r="D73" s="189" t="str">
        <f>(VLOOKUP($B73,'Пр.взв'!$D$6:$J$63,5,0))</f>
        <v>КМС</v>
      </c>
      <c r="E73" s="190" t="str">
        <f>(VLOOKUP($B73,'Пр.взв'!$D$6:$M$63,8,0))</f>
        <v>Ярославская</v>
      </c>
      <c r="F73" s="130">
        <f>B75</f>
        <v>35</v>
      </c>
      <c r="G73" s="134"/>
      <c r="H73" s="132">
        <v>36.0</v>
      </c>
      <c r="I73" s="136"/>
      <c r="J73" s="133" t="str">
        <f>IF(H73="Х","Х",IF($AC73&lt;6," ","Х"))</f>
        <v> </v>
      </c>
      <c r="K73" s="134"/>
      <c r="L73" s="133" t="str">
        <f>IF(J73="Х","Х",IF(K73&lt;3," ",IF($AC73&lt;6," ","Х")))</f>
        <v> </v>
      </c>
      <c r="M73" s="134"/>
      <c r="N73" s="133" t="str">
        <f>IF(L73="Х","Х",IF(M73&lt;3," ",IF($AC73&lt;6," ","Х")))</f>
        <v> </v>
      </c>
      <c r="O73" s="134"/>
      <c r="P73" s="133" t="str">
        <f>IF(N73="Х","Х",IF(O73&lt;3," ",IF($AC73&lt;6," ","Х")))</f>
        <v> </v>
      </c>
      <c r="Q73" s="134"/>
      <c r="R73" s="133" t="str">
        <f>IF(P73="Х","Х",IF(Q73&lt;3," ",IF($AC73&lt;6," ","Х")))</f>
        <v> </v>
      </c>
      <c r="S73" s="134"/>
      <c r="T73" s="133" t="str">
        <f>IF(R73="Х","Х",IF(S73&lt;3," ",IF($AC73&lt;6," ","Х")))</f>
        <v> </v>
      </c>
      <c r="U73" s="135"/>
      <c r="V73" s="133" t="str">
        <f>IF(T73="Х","Х",IF(U73&lt;3," ",IF($AC73&lt;6," ","Х")))</f>
        <v> </v>
      </c>
      <c r="W73" s="135"/>
      <c r="X73" s="133" t="str">
        <f>IF(V73="А1",$AZ$7,IF(V73="Б2",$AZ$6,IF(V73="Б1",$BA$7,IF(V73="А2",$BA$6,IF(V73="Х","Х",IF(V73&lt;6," "," "))))))</f>
        <v> </v>
      </c>
      <c r="Y73" s="136"/>
      <c r="Z73" s="133" t="str">
        <f>IF(V73="Х","Х",IF(ISBLANK(Y73),"",IF(Y73&gt;2.5," ",IF(B73=BB$6,BB$7,BB$6))))</f>
        <v/>
      </c>
      <c r="AA73" s="136"/>
      <c r="AB73" s="240" t="str">
        <f>IF(H73="Х",F$5,IF(J73="Х",H$5,IF(L73="Х",J$5,IF(N73="Х",L$5,IF(P73="Х",N$5,IF(R73="Х",P$5,IF(T73="Х",R$5,IF(X73="Х",T$5,""))))))))</f>
        <v/>
      </c>
      <c r="AC73" s="138">
        <f>SUM(G73+I73+K73+M73+O73+Q73+S73+U73+Y73+AA73)</f>
        <v>0</v>
      </c>
      <c r="AD73" s="241" t="str">
        <f>AF73</f>
        <v>1-54</v>
      </c>
      <c r="AE73" s="140" t="str">
        <f>AD73</f>
        <v>1-54</v>
      </c>
      <c r="AF73" s="141" t="str">
        <f>COUNTIF(AG$6:AG$148,"&gt;"&amp;AG$6:AG$148)+1&amp;REPT("-"&amp;COUNTIF(AG$6:AG$148,"&gt;="&amp;AG$6:AG$148),COUNTIF(AG$6:AG$148,AG73)&gt;1)</f>
        <v>1-54</v>
      </c>
      <c r="AG73" s="142">
        <f>(AR73*100)+(AP73*10)-AC73</f>
        <v>1280</v>
      </c>
      <c r="AH73" s="143" t="str">
        <f>IF(OR(F73="Х",F73="св")," ",IF(AND(G73&gt;=0,G73&lt;3),"1"," "))</f>
        <v>1</v>
      </c>
      <c r="AI73" s="90" t="str">
        <f>IF(OR(H73="Х",H73="св")," ",IF(AND(I73&gt;=0,I73&lt;3),"1"," "))</f>
        <v>1</v>
      </c>
      <c r="AJ73" s="90" t="str">
        <f>IF(OR(J73="Х",J73="св")," ",IF(AND(K73&gt;=0,K73&lt;3),"1"," "))</f>
        <v>1</v>
      </c>
      <c r="AK73" s="90" t="str">
        <f>IF(OR(L73="Х",L73="св")," ",IF(AND(M73&gt;=0,M73&lt;3),"1"," "))</f>
        <v>1</v>
      </c>
      <c r="AL73" s="90" t="str">
        <f>IF(OR(N73="Х",N73="св")," ",IF(AND(O73&gt;=0,O73&lt;3),"1"," "))</f>
        <v>1</v>
      </c>
      <c r="AM73" s="90" t="str">
        <f>IF(OR(P73="Х",P73="св")," ",IF(AND(Q73&gt;=0,Q73&lt;3),"1"," "))</f>
        <v>1</v>
      </c>
      <c r="AN73" s="90" t="str">
        <f>IF(OR(R73="Х",R73="св")," ",IF(AND(S73&gt;=0,S73&lt;3),"1"," "))</f>
        <v>1</v>
      </c>
      <c r="AO73" s="90" t="str">
        <f>IF(OR(T73="Х",T73="св")," ",IF(AND(U73&gt;=0,U73&lt;3),"1"," "))</f>
        <v>1</v>
      </c>
      <c r="AP73" s="90">
        <f>COUNTIF(AH73:AO74,1)</f>
        <v>8</v>
      </c>
      <c r="AQ73" s="90">
        <f>AG73-AC73</f>
        <v>1280</v>
      </c>
      <c r="AR73" s="144">
        <f>IF(F73=0,0,IF(F73="Х",1,IF(H73="Х",2,IF(J73="Х",3,IF(L73="Х",4,IF(N73="Х",5,IF(P73="Х",6,IF(R73="Х",7,IF(T73="Х",8,IF(V73="Х",9,IF(Y73&gt;2.5,10,IF(AA73&gt;2.5,11,IF(AA73&gt;=0,12,IF(AA73=" ",0,))))))))))))))</f>
        <v>12</v>
      </c>
      <c r="AS73" s="90" t="str">
        <f>COUNTIF(AG$6:AG$134,"&gt;"&amp;AG$6:AG$134)+1&amp;REPT("-"&amp;COUNTIF(AG$6:AG$134,"&gt;="&amp;AG$6:AG$134),COUNTIF(AG$6:AG$134,AG73)&gt;1)</f>
        <v>1-54</v>
      </c>
      <c r="AT73" s="143" t="str">
        <f t="shared" ref="AT73:AW73" si="39">COUNTIF(AU$6:AU$134,"&gt;"&amp;AU$6:AU$134)+1&amp;REPT("-"&amp;COUNTIF(AU$6:AU$134,"&gt;="&amp;AU$6:AU$134),COUNTIF(AU$6:AU$134,AU73)&gt;1)</f>
        <v>1-64</v>
      </c>
      <c r="AU73" s="143" t="str">
        <f t="shared" si="39"/>
        <v>1-0</v>
      </c>
      <c r="AV73" s="143" t="str">
        <f t="shared" si="39"/>
        <v>1</v>
      </c>
      <c r="AW73" s="143" t="str">
        <f t="shared" si="39"/>
        <v>31</v>
      </c>
      <c r="AX73" s="145">
        <f>IF(X73="Х","Х",IF(Y73&lt;3,B73,"Х"))</f>
        <v>34</v>
      </c>
      <c r="AY73" s="146" t="s">
        <v>362</v>
      </c>
      <c r="AZ73" s="146"/>
      <c r="BA73" s="146" t="s">
        <v>362</v>
      </c>
      <c r="BB73" s="146"/>
      <c r="BC73" s="49" t="s">
        <v>362</v>
      </c>
      <c r="BD73" s="225"/>
      <c r="BE73" s="49" t="s">
        <v>362</v>
      </c>
      <c r="BF73" s="224"/>
      <c r="BG73" s="49" t="s">
        <v>362</v>
      </c>
      <c r="BH73" s="49" t="s">
        <v>362</v>
      </c>
      <c r="BI73" s="49"/>
      <c r="BJ73" s="49"/>
      <c r="BK73" s="49"/>
      <c r="BL73" s="49"/>
      <c r="BM73" s="195">
        <v>34.0</v>
      </c>
      <c r="BN73" s="196">
        <v>35.0</v>
      </c>
      <c r="BO73" s="153">
        <f>IF(BM73&lt;BN73,BM73,"")</f>
        <v>34</v>
      </c>
      <c r="BP73" s="196">
        <v>34.0</v>
      </c>
      <c r="BQ73" s="197"/>
      <c r="BR73" s="198">
        <v>34.0</v>
      </c>
      <c r="BS73" s="196">
        <v>36.0</v>
      </c>
      <c r="BT73" s="175">
        <f>IF(BR73&lt;BS73,BR73,"")</f>
        <v>34</v>
      </c>
      <c r="BU73" s="196">
        <v>34.0</v>
      </c>
      <c r="BV73" s="196"/>
      <c r="BW73" s="199">
        <v>34.0</v>
      </c>
      <c r="BX73" s="74" t="s">
        <v>361</v>
      </c>
      <c r="BY73" s="160">
        <f t="array" ref="BY73">IF(BW73&lt;BX73,BW73,"")</f>
        <v>34</v>
      </c>
      <c r="BZ73" s="160">
        <f t="shared" si="34"/>
        <v>34</v>
      </c>
      <c r="CA73" s="74">
        <f>IFERROR(__xludf.DUMMYFUNCTION("""COMPUTED_VALUE"""),68.0)</f>
        <v>68</v>
      </c>
      <c r="CB73" s="74">
        <f t="shared" si="35"/>
        <v>68</v>
      </c>
      <c r="CC73" s="200"/>
      <c r="CD73" s="243"/>
      <c r="CE73" s="200">
        <v>34.0</v>
      </c>
      <c r="CF73" s="25" t="s">
        <v>361</v>
      </c>
      <c r="CG73" s="153">
        <f t="array" ref="CG73">IF(CE73&lt;CF73,CE73,"")</f>
        <v>34</v>
      </c>
      <c r="CH73" s="74">
        <v>34.0</v>
      </c>
      <c r="CI73" s="182">
        <f>IFERROR(__xludf.DUMMYFUNCTION("""COMPUTED_VALUE"""),68.0)</f>
        <v>68</v>
      </c>
      <c r="CJ73" s="93">
        <v>34.0</v>
      </c>
      <c r="CK73" s="233" t="s">
        <v>361</v>
      </c>
      <c r="CL73" s="153">
        <f t="array" ref="CL73">IF(CJ73&lt;CK73,CJ73,"")</f>
        <v>34</v>
      </c>
      <c r="CM73" s="49">
        <v>34.0</v>
      </c>
      <c r="CN73" s="49">
        <f>IFERROR(__xludf.DUMMYFUNCTION("""COMPUTED_VALUE"""),68.0)</f>
        <v>68</v>
      </c>
      <c r="CO73" s="74">
        <v>34.0</v>
      </c>
      <c r="CP73" s="200" t="s">
        <v>361</v>
      </c>
      <c r="CQ73" s="153">
        <f t="array" ref="CQ73">IF(CO73&lt;CP73,CO73,"")</f>
        <v>34</v>
      </c>
      <c r="CR73" s="93">
        <v>34.0</v>
      </c>
      <c r="CS73" s="234">
        <f>IFERROR(__xludf.DUMMYFUNCTION("""COMPUTED_VALUE"""),68.0)</f>
        <v>68</v>
      </c>
      <c r="CT73" s="200">
        <v>34.0</v>
      </c>
      <c r="CU73" s="74" t="s">
        <v>361</v>
      </c>
      <c r="CV73" s="153">
        <f t="array" ref="CV73">IF(CT73&lt;CU73,CT73,"")</f>
        <v>34</v>
      </c>
      <c r="CW73" s="49">
        <v>34.0</v>
      </c>
      <c r="CX73" s="49">
        <f>IFERROR(__xludf.DUMMYFUNCTION("""COMPUTED_VALUE"""),68.0)</f>
        <v>68</v>
      </c>
      <c r="CY73" s="49">
        <v>34.0</v>
      </c>
      <c r="CZ73" s="49" t="s">
        <v>361</v>
      </c>
      <c r="DA73" s="153">
        <f t="array" ref="DA73">IF(CY73&lt;CZ73,CY73,"")</f>
        <v>34</v>
      </c>
      <c r="DB73" s="49">
        <v>34.0</v>
      </c>
      <c r="DC73" s="49">
        <f>IFERROR(__xludf.DUMMYFUNCTION("""COMPUTED_VALUE"""),68.0)</f>
        <v>68</v>
      </c>
      <c r="DD73" s="49">
        <v>34.0</v>
      </c>
      <c r="DE73" s="49"/>
      <c r="DF73" s="49"/>
      <c r="DG73" s="49"/>
      <c r="DH73" s="49"/>
    </row>
    <row r="74" ht="13.5" customHeight="1">
      <c r="A74" s="54"/>
      <c r="B74" s="165"/>
      <c r="C74" s="165"/>
      <c r="D74" s="165"/>
      <c r="E74" s="165"/>
      <c r="F74" s="166"/>
      <c r="G74" s="167"/>
      <c r="H74" s="168"/>
      <c r="I74" s="167"/>
      <c r="J74" s="168"/>
      <c r="K74" s="167"/>
      <c r="L74" s="168"/>
      <c r="M74" s="167"/>
      <c r="N74" s="168"/>
      <c r="O74" s="167"/>
      <c r="P74" s="168"/>
      <c r="Q74" s="167"/>
      <c r="R74" s="168"/>
      <c r="S74" s="167"/>
      <c r="T74" s="168"/>
      <c r="U74" s="169"/>
      <c r="V74" s="168"/>
      <c r="W74" s="169"/>
      <c r="X74" s="168"/>
      <c r="Y74" s="167"/>
      <c r="Z74" s="168"/>
      <c r="AA74" s="167"/>
      <c r="AB74" s="166"/>
      <c r="AC74" s="165"/>
      <c r="AD74" s="168"/>
      <c r="AE74" s="170"/>
      <c r="AF74" s="171"/>
      <c r="AG74" s="113"/>
      <c r="AH74" s="113"/>
      <c r="AI74" s="113"/>
      <c r="AJ74" s="113"/>
      <c r="AK74" s="113"/>
      <c r="AL74" s="113"/>
      <c r="AM74" s="113"/>
      <c r="AN74" s="113"/>
      <c r="AO74" s="113"/>
      <c r="AP74" s="113"/>
      <c r="AQ74" s="113"/>
      <c r="AR74" s="113"/>
      <c r="AS74" s="113"/>
      <c r="AT74" s="113"/>
      <c r="AU74" s="113"/>
      <c r="AV74" s="113"/>
      <c r="AW74" s="113"/>
      <c r="AY74" s="146" t="s">
        <v>362</v>
      </c>
      <c r="AZ74" s="146"/>
      <c r="BA74" s="146" t="s">
        <v>362</v>
      </c>
      <c r="BB74" s="146"/>
      <c r="BC74" s="49" t="s">
        <v>362</v>
      </c>
      <c r="BD74" s="225"/>
      <c r="BE74" s="49" t="s">
        <v>362</v>
      </c>
      <c r="BF74" s="224"/>
      <c r="BG74" s="49" t="s">
        <v>362</v>
      </c>
      <c r="BH74" s="49" t="s">
        <v>362</v>
      </c>
      <c r="BI74" s="49"/>
      <c r="BJ74" s="49"/>
      <c r="BK74" s="49"/>
      <c r="BL74" s="49"/>
      <c r="BM74" s="178"/>
      <c r="BO74" s="175">
        <f>IF(BO73="","",BN73)</f>
        <v>35</v>
      </c>
      <c r="BP74" s="175">
        <v>35.0</v>
      </c>
      <c r="BQ74" s="197"/>
      <c r="BT74" s="175">
        <f>IF(BT73="","",BS73)</f>
        <v>36</v>
      </c>
      <c r="BU74" s="175">
        <v>36.0</v>
      </c>
      <c r="BV74" s="196"/>
      <c r="BW74" s="178"/>
      <c r="BY74" s="160" t="str">
        <f>IF(BY73="","",BX73)</f>
        <v> </v>
      </c>
      <c r="BZ74" s="160" t="str">
        <f t="shared" si="34"/>
        <v> </v>
      </c>
      <c r="CA74" s="200">
        <f>IFERROR(__xludf.DUMMYFUNCTION("""COMPUTED_VALUE"""),69.0)</f>
        <v>69</v>
      </c>
      <c r="CB74" s="74">
        <f t="shared" si="35"/>
        <v>69</v>
      </c>
      <c r="CC74" s="200"/>
      <c r="CD74" s="243"/>
      <c r="CG74" s="180" t="str">
        <f>IF(CG73="","",CF73)</f>
        <v> </v>
      </c>
      <c r="CH74" s="200" t="s">
        <v>361</v>
      </c>
      <c r="CI74" s="182">
        <f>IFERROR(__xludf.DUMMYFUNCTION("""COMPUTED_VALUE"""),69.0)</f>
        <v>69</v>
      </c>
      <c r="CJ74" s="49" t="s">
        <v>362</v>
      </c>
      <c r="CK74" s="235"/>
      <c r="CL74" s="180" t="str">
        <f>IF(CL73="","",CK73)</f>
        <v> </v>
      </c>
      <c r="CM74" s="49" t="s">
        <v>361</v>
      </c>
      <c r="CN74" s="49">
        <f>IFERROR(__xludf.DUMMYFUNCTION("""COMPUTED_VALUE"""),69.0)</f>
        <v>69</v>
      </c>
      <c r="CQ74" s="180" t="str">
        <f>IF(CQ73="","",CP73)</f>
        <v> </v>
      </c>
      <c r="CR74" s="49" t="s">
        <v>361</v>
      </c>
      <c r="CS74" s="234">
        <f>IFERROR(__xludf.DUMMYFUNCTION("""COMPUTED_VALUE"""),69.0)</f>
        <v>69</v>
      </c>
      <c r="CV74" s="180" t="str">
        <f>IF(CV73="","",CU73)</f>
        <v> </v>
      </c>
      <c r="CW74" s="49" t="s">
        <v>361</v>
      </c>
      <c r="CX74" s="49">
        <f>IFERROR(__xludf.DUMMYFUNCTION("""COMPUTED_VALUE"""),69.0)</f>
        <v>69</v>
      </c>
      <c r="CY74" s="49" t="s">
        <v>362</v>
      </c>
      <c r="CZ74" s="49"/>
      <c r="DA74" s="180" t="str">
        <f>IF(DA73="","",CZ73)</f>
        <v> </v>
      </c>
      <c r="DB74" s="49" t="s">
        <v>361</v>
      </c>
      <c r="DC74" s="49">
        <f>IFERROR(__xludf.DUMMYFUNCTION("""COMPUTED_VALUE"""),69.0)</f>
        <v>69</v>
      </c>
      <c r="DD74" s="49" t="s">
        <v>362</v>
      </c>
      <c r="DE74" s="49"/>
      <c r="DF74" s="49"/>
      <c r="DG74" s="49"/>
      <c r="DH74" s="49"/>
    </row>
    <row r="75" ht="13.5" customHeight="1">
      <c r="A75" s="54"/>
      <c r="B75" s="187">
        <v>35.0</v>
      </c>
      <c r="C75" s="188" t="str">
        <f>(VLOOKUP($B75,'Пр.взв'!$D$6:$J$63,2,0))</f>
        <v>ИГНАТЕНКО Егор</v>
      </c>
      <c r="D75" s="189" t="str">
        <f>(VLOOKUP($B75,'Пр.взв'!$D$6:$J$63,5,0))</f>
        <v>1р</v>
      </c>
      <c r="E75" s="190" t="str">
        <f>(VLOOKUP($B75,'Пр.взв'!$D$6:$M$63,8,0))</f>
        <v>Амурская</v>
      </c>
      <c r="F75" s="130">
        <f>B73</f>
        <v>34</v>
      </c>
      <c r="G75" s="255"/>
      <c r="H75" s="132">
        <v>37.0</v>
      </c>
      <c r="I75" s="255"/>
      <c r="J75" s="133" t="str">
        <f>IF(H75="Х","Х",IF($AC75&lt;6," ","Х"))</f>
        <v> </v>
      </c>
      <c r="K75" s="134"/>
      <c r="L75" s="133" t="str">
        <f>IF(J75="Х","Х",IF(K75&lt;3," ",IF($AC75&lt;6," ","Х")))</f>
        <v> </v>
      </c>
      <c r="M75" s="134"/>
      <c r="N75" s="133" t="str">
        <f>IF(L75="Х","Х",IF(M75&lt;3," ",IF($AC75&lt;6," ","Х")))</f>
        <v> </v>
      </c>
      <c r="O75" s="134"/>
      <c r="P75" s="133" t="str">
        <f>IF(N75="Х","Х",IF(O75&lt;3," ",IF($AC75&lt;6," ","Х")))</f>
        <v> </v>
      </c>
      <c r="Q75" s="134"/>
      <c r="R75" s="133" t="str">
        <f>IF(P75="Х","Х",IF(Q75&lt;3," ",IF($AC75&lt;6," ","Х")))</f>
        <v> </v>
      </c>
      <c r="S75" s="134"/>
      <c r="T75" s="133" t="str">
        <f>IF(R75="Х","Х",IF(S75&lt;3," ",IF($AC75&lt;6," ","Х")))</f>
        <v> </v>
      </c>
      <c r="U75" s="135"/>
      <c r="V75" s="133" t="str">
        <f>IF(T75="Х","Х",IF(U75&lt;3," ",IF($AC75&lt;6," ","Х")))</f>
        <v> </v>
      </c>
      <c r="W75" s="135"/>
      <c r="X75" s="133" t="str">
        <f>IF(V75="А1",$AZ$7,IF(V75="Б2",$AZ$6,IF(V75="Б1",$BA$7,IF(V75="А2",$BA$6,IF(V75="Х","Х",IF(V75&lt;6," "," "))))))</f>
        <v> </v>
      </c>
      <c r="Y75" s="136"/>
      <c r="Z75" s="133" t="str">
        <f>IF(V75="Х","Х",IF(ISBLANK(Y75),"",IF(Y75&gt;2.5," ",IF(B75=BB$6,BB$7,BB$6))))</f>
        <v/>
      </c>
      <c r="AA75" s="136"/>
      <c r="AB75" s="240" t="str">
        <f>IF(H75="Х",F$5,IF(J75="Х",H$5,IF(L75="Х",J$5,IF(N75="Х",L$5,IF(P75="Х",N$5,IF(R75="Х",P$5,IF(T75="Х",R$5,IF(X75="Х",T$5,""))))))))</f>
        <v/>
      </c>
      <c r="AC75" s="138">
        <f>SUM(G75+I75+K75+M75+O75+Q75+S75+U75+Y75+AA75)</f>
        <v>0</v>
      </c>
      <c r="AD75" s="241" t="str">
        <f>AF75</f>
        <v>1-54</v>
      </c>
      <c r="AE75" s="140" t="str">
        <f>AD75</f>
        <v>1-54</v>
      </c>
      <c r="AF75" s="141" t="str">
        <f>COUNTIF(AG$6:AG$148,"&gt;"&amp;AG$6:AG$148)+1&amp;REPT("-"&amp;COUNTIF(AG$6:AG$148,"&gt;="&amp;AG$6:AG$148),COUNTIF(AG$6:AG$148,AG75)&gt;1)</f>
        <v>1-54</v>
      </c>
      <c r="AG75" s="142">
        <f>(AR75*100)+(AP75*10)-AC75</f>
        <v>1280</v>
      </c>
      <c r="AH75" s="143" t="str">
        <f>IF(OR(F75="Х",F75="св")," ",IF(AND(G75&gt;=0,G75&lt;3),"1"," "))</f>
        <v>1</v>
      </c>
      <c r="AI75" s="90" t="str">
        <f>IF(OR(H75="Х",H75="св")," ",IF(AND(I75&gt;=0,I75&lt;3),"1"," "))</f>
        <v>1</v>
      </c>
      <c r="AJ75" s="90" t="str">
        <f>IF(OR(J75="Х",J75="св")," ",IF(AND(K75&gt;=0,K75&lt;3),"1"," "))</f>
        <v>1</v>
      </c>
      <c r="AK75" s="90" t="str">
        <f>IF(OR(L75="Х",L75="св")," ",IF(AND(M75&gt;=0,M75&lt;3),"1"," "))</f>
        <v>1</v>
      </c>
      <c r="AL75" s="90" t="str">
        <f>IF(OR(N75="Х",N75="св")," ",IF(AND(O75&gt;=0,O75&lt;3),"1"," "))</f>
        <v>1</v>
      </c>
      <c r="AM75" s="90" t="str">
        <f>IF(OR(P75="Х",P75="св")," ",IF(AND(Q75&gt;=0,Q75&lt;3),"1"," "))</f>
        <v>1</v>
      </c>
      <c r="AN75" s="90" t="str">
        <f>IF(OR(R75="Х",R75="св")," ",IF(AND(S75&gt;=0,S75&lt;3),"1"," "))</f>
        <v>1</v>
      </c>
      <c r="AO75" s="90" t="str">
        <f>IF(OR(T75="Х",T75="св")," ",IF(AND(U75&gt;=0,U75&lt;3),"1"," "))</f>
        <v>1</v>
      </c>
      <c r="AP75" s="90">
        <f>COUNTIF(AH75:AO76,1)</f>
        <v>8</v>
      </c>
      <c r="AQ75" s="90">
        <f>AG75-AC75</f>
        <v>1280</v>
      </c>
      <c r="AR75" s="144">
        <f>IF(F75=0,0,IF(F75="Х",1,IF(H75="Х",2,IF(J75="Х",3,IF(L75="Х",4,IF(N75="Х",5,IF(P75="Х",6,IF(R75="Х",7,IF(T75="Х",8,IF(V75="Х",9,IF(Y75&gt;2.5,10,IF(AA75&gt;2.5,11,IF(AA75&gt;=0,12,IF(AA75=" ",0,))))))))))))))</f>
        <v>12</v>
      </c>
      <c r="AS75" s="90" t="str">
        <f>COUNTIF(AG$6:AG$134,"&gt;"&amp;AG$6:AG$134)+1&amp;REPT("-"&amp;COUNTIF(AG$6:AG$134,"&gt;="&amp;AG$6:AG$134),COUNTIF(AG$6:AG$134,AG75)&gt;1)</f>
        <v>1-54</v>
      </c>
      <c r="AT75" s="143" t="str">
        <f t="shared" ref="AT75:AW75" si="40">COUNTIF(AU$6:AU$134,"&gt;"&amp;AU$6:AU$134)+1&amp;REPT("-"&amp;COUNTIF(AU$6:AU$134,"&gt;="&amp;AU$6:AU$134),COUNTIF(AU$6:AU$134,AU75)&gt;1)</f>
        <v>1-64</v>
      </c>
      <c r="AU75" s="143" t="str">
        <f t="shared" si="40"/>
        <v>1-0</v>
      </c>
      <c r="AV75" s="143" t="str">
        <f t="shared" si="40"/>
        <v>1</v>
      </c>
      <c r="AW75" s="143" t="str">
        <f t="shared" si="40"/>
        <v>30</v>
      </c>
      <c r="AX75" s="145">
        <f>IF(X75="Х","Х",IF(Y75&lt;3,B75,"Х"))</f>
        <v>35</v>
      </c>
      <c r="AY75" s="146" t="s">
        <v>362</v>
      </c>
      <c r="AZ75" s="146"/>
      <c r="BA75" s="146" t="s">
        <v>362</v>
      </c>
      <c r="BB75" s="146"/>
      <c r="BC75" s="49" t="s">
        <v>362</v>
      </c>
      <c r="BD75" s="225"/>
      <c r="BE75" s="49" t="s">
        <v>362</v>
      </c>
      <c r="BF75" s="224"/>
      <c r="BG75" s="49" t="s">
        <v>362</v>
      </c>
      <c r="BH75" s="49" t="s">
        <v>362</v>
      </c>
      <c r="BI75" s="49"/>
      <c r="BJ75" s="49"/>
      <c r="BK75" s="49"/>
      <c r="BL75" s="49"/>
      <c r="BM75" s="195">
        <v>35.0</v>
      </c>
      <c r="BN75" s="196">
        <v>34.0</v>
      </c>
      <c r="BO75" s="153" t="str">
        <f>IF(BM75&lt;BN75,BM75,"")</f>
        <v/>
      </c>
      <c r="BP75" s="196" t="s">
        <v>362</v>
      </c>
      <c r="BQ75" s="197"/>
      <c r="BR75" s="198">
        <v>35.0</v>
      </c>
      <c r="BS75" s="196">
        <v>37.0</v>
      </c>
      <c r="BT75" s="175">
        <f>IF(BR75&lt;BS75,BR75,"")</f>
        <v>35</v>
      </c>
      <c r="BU75" s="196">
        <v>35.0</v>
      </c>
      <c r="BV75" s="196"/>
      <c r="BW75" s="199">
        <v>35.0</v>
      </c>
      <c r="BX75" s="74" t="s">
        <v>361</v>
      </c>
      <c r="BY75" s="160">
        <f t="array" ref="BY75">IF(BW75&lt;BX75,BW75,"")</f>
        <v>35</v>
      </c>
      <c r="BZ75" s="160">
        <f t="shared" si="34"/>
        <v>35</v>
      </c>
      <c r="CA75" s="74">
        <f>IFERROR(__xludf.DUMMYFUNCTION("""COMPUTED_VALUE"""),70.0)</f>
        <v>70</v>
      </c>
      <c r="CB75" s="74">
        <f t="shared" si="35"/>
        <v>70</v>
      </c>
      <c r="CC75" s="200"/>
      <c r="CD75" s="243"/>
      <c r="CE75" s="200">
        <v>35.0</v>
      </c>
      <c r="CF75" s="25" t="s">
        <v>361</v>
      </c>
      <c r="CG75" s="153">
        <f t="array" ref="CG75">IF(CE75&lt;CF75,CE75,"")</f>
        <v>35</v>
      </c>
      <c r="CH75" s="74">
        <v>35.0</v>
      </c>
      <c r="CI75" s="182">
        <f>IFERROR(__xludf.DUMMYFUNCTION("""COMPUTED_VALUE"""),70.0)</f>
        <v>70</v>
      </c>
      <c r="CJ75" s="93">
        <v>35.0</v>
      </c>
      <c r="CK75" s="233" t="s">
        <v>361</v>
      </c>
      <c r="CL75" s="153">
        <f t="array" ref="CL75">IF(CJ75&lt;CK75,CJ75,"")</f>
        <v>35</v>
      </c>
      <c r="CM75" s="49">
        <v>35.0</v>
      </c>
      <c r="CN75" s="49">
        <f>IFERROR(__xludf.DUMMYFUNCTION("""COMPUTED_VALUE"""),70.0)</f>
        <v>70</v>
      </c>
      <c r="CO75" s="74">
        <v>35.0</v>
      </c>
      <c r="CP75" s="200" t="s">
        <v>361</v>
      </c>
      <c r="CQ75" s="153">
        <f t="array" ref="CQ75">IF(CO75&lt;CP75,CO75,"")</f>
        <v>35</v>
      </c>
      <c r="CR75" s="93">
        <v>35.0</v>
      </c>
      <c r="CS75" s="234">
        <f>IFERROR(__xludf.DUMMYFUNCTION("""COMPUTED_VALUE"""),70.0)</f>
        <v>70</v>
      </c>
      <c r="CT75" s="200">
        <v>35.0</v>
      </c>
      <c r="CU75" s="74" t="s">
        <v>361</v>
      </c>
      <c r="CV75" s="153">
        <f t="array" ref="CV75">IF(CT75&lt;CU75,CT75,"")</f>
        <v>35</v>
      </c>
      <c r="CW75" s="49">
        <v>35.0</v>
      </c>
      <c r="CX75" s="49">
        <f>IFERROR(__xludf.DUMMYFUNCTION("""COMPUTED_VALUE"""),70.0)</f>
        <v>70</v>
      </c>
      <c r="CY75" s="49">
        <v>35.0</v>
      </c>
      <c r="CZ75" s="49" t="s">
        <v>361</v>
      </c>
      <c r="DA75" s="153">
        <f t="array" ref="DA75">IF(CY75&lt;CZ75,CY75,"")</f>
        <v>35</v>
      </c>
      <c r="DB75" s="49">
        <v>35.0</v>
      </c>
      <c r="DC75" s="49">
        <f>IFERROR(__xludf.DUMMYFUNCTION("""COMPUTED_VALUE"""),70.0)</f>
        <v>70</v>
      </c>
      <c r="DD75" s="49">
        <v>35.0</v>
      </c>
      <c r="DE75" s="49"/>
      <c r="DF75" s="49"/>
      <c r="DG75" s="49"/>
      <c r="DH75" s="49"/>
    </row>
    <row r="76" ht="13.5" customHeight="1">
      <c r="A76" s="54"/>
      <c r="B76" s="165"/>
      <c r="C76" s="165"/>
      <c r="D76" s="165"/>
      <c r="E76" s="165"/>
      <c r="F76" s="166"/>
      <c r="G76" s="167"/>
      <c r="H76" s="168"/>
      <c r="I76" s="167"/>
      <c r="J76" s="168"/>
      <c r="K76" s="167"/>
      <c r="L76" s="168"/>
      <c r="M76" s="167"/>
      <c r="N76" s="168"/>
      <c r="O76" s="167"/>
      <c r="P76" s="168"/>
      <c r="Q76" s="167"/>
      <c r="R76" s="168"/>
      <c r="S76" s="167"/>
      <c r="T76" s="168"/>
      <c r="U76" s="169"/>
      <c r="V76" s="168"/>
      <c r="W76" s="169"/>
      <c r="X76" s="168"/>
      <c r="Y76" s="167"/>
      <c r="Z76" s="168"/>
      <c r="AA76" s="167"/>
      <c r="AB76" s="166"/>
      <c r="AC76" s="165"/>
      <c r="AD76" s="168"/>
      <c r="AE76" s="170"/>
      <c r="AF76" s="171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Y76" s="146" t="s">
        <v>362</v>
      </c>
      <c r="AZ76" s="146"/>
      <c r="BA76" s="146" t="s">
        <v>362</v>
      </c>
      <c r="BB76" s="146"/>
      <c r="BC76" s="49" t="s">
        <v>362</v>
      </c>
      <c r="BD76" s="225"/>
      <c r="BE76" s="49" t="s">
        <v>362</v>
      </c>
      <c r="BF76" s="224"/>
      <c r="BG76" s="49" t="s">
        <v>362</v>
      </c>
      <c r="BH76" s="49" t="s">
        <v>362</v>
      </c>
      <c r="BI76" s="49"/>
      <c r="BJ76" s="49"/>
      <c r="BK76" s="49"/>
      <c r="BL76" s="49"/>
      <c r="BM76" s="178"/>
      <c r="BO76" s="175" t="str">
        <f>IF(BO75="","",BN75)</f>
        <v/>
      </c>
      <c r="BP76" s="175" t="s">
        <v>362</v>
      </c>
      <c r="BQ76" s="197"/>
      <c r="BT76" s="175">
        <f>IF(BT75="","",BS75)</f>
        <v>37</v>
      </c>
      <c r="BU76" s="175">
        <v>37.0</v>
      </c>
      <c r="BV76" s="196"/>
      <c r="BW76" s="178"/>
      <c r="BY76" s="160" t="str">
        <f>IF(BY75="","",BX75)</f>
        <v> </v>
      </c>
      <c r="BZ76" s="160" t="str">
        <f t="shared" si="34"/>
        <v> </v>
      </c>
      <c r="CA76" s="200">
        <f>IFERROR(__xludf.DUMMYFUNCTION("""COMPUTED_VALUE"""),71.0)</f>
        <v>71</v>
      </c>
      <c r="CB76" s="74">
        <f t="shared" si="35"/>
        <v>71</v>
      </c>
      <c r="CC76" s="200"/>
      <c r="CD76" s="243"/>
      <c r="CG76" s="180" t="str">
        <f>IF(CG75="","",CF75)</f>
        <v> </v>
      </c>
      <c r="CH76" s="200" t="s">
        <v>361</v>
      </c>
      <c r="CI76" s="182">
        <f>IFERROR(__xludf.DUMMYFUNCTION("""COMPUTED_VALUE"""),71.0)</f>
        <v>71</v>
      </c>
      <c r="CJ76" s="49" t="s">
        <v>362</v>
      </c>
      <c r="CK76" s="235"/>
      <c r="CL76" s="180" t="str">
        <f>IF(CL75="","",CK75)</f>
        <v> </v>
      </c>
      <c r="CM76" s="49" t="s">
        <v>361</v>
      </c>
      <c r="CN76" s="49">
        <f>IFERROR(__xludf.DUMMYFUNCTION("""COMPUTED_VALUE"""),71.0)</f>
        <v>71</v>
      </c>
      <c r="CQ76" s="180" t="str">
        <f>IF(CQ75="","",CP75)</f>
        <v> </v>
      </c>
      <c r="CR76" s="49" t="s">
        <v>361</v>
      </c>
      <c r="CS76" s="234">
        <f>IFERROR(__xludf.DUMMYFUNCTION("""COMPUTED_VALUE"""),71.0)</f>
        <v>71</v>
      </c>
      <c r="CV76" s="180" t="str">
        <f>IF(CV75="","",CU75)</f>
        <v> </v>
      </c>
      <c r="CW76" s="49" t="s">
        <v>361</v>
      </c>
      <c r="CX76" s="49">
        <f>IFERROR(__xludf.DUMMYFUNCTION("""COMPUTED_VALUE"""),71.0)</f>
        <v>71</v>
      </c>
      <c r="CY76" s="49" t="s">
        <v>362</v>
      </c>
      <c r="CZ76" s="49"/>
      <c r="DA76" s="180" t="str">
        <f>IF(DA75="","",CZ75)</f>
        <v> </v>
      </c>
      <c r="DB76" s="49" t="s">
        <v>361</v>
      </c>
      <c r="DC76" s="49">
        <f>IFERROR(__xludf.DUMMYFUNCTION("""COMPUTED_VALUE"""),71.0)</f>
        <v>71</v>
      </c>
      <c r="DD76" s="49" t="s">
        <v>362</v>
      </c>
      <c r="DE76" s="49"/>
      <c r="DF76" s="49"/>
      <c r="DG76" s="49"/>
      <c r="DH76" s="49"/>
    </row>
    <row r="77" ht="13.5" customHeight="1">
      <c r="A77" s="54"/>
      <c r="B77" s="187">
        <v>36.0</v>
      </c>
      <c r="C77" s="188" t="str">
        <f>(VLOOKUP($B77,'Пр.взв'!$D$6:$J$63,2,0))</f>
        <v>ТРУБНИКОВ  Денис </v>
      </c>
      <c r="D77" s="189" t="str">
        <f>(VLOOKUP($B77,'Пр.взв'!$D$6:$J$63,5,0))</f>
        <v>2р</v>
      </c>
      <c r="E77" s="190" t="str">
        <f>(VLOOKUP($B77,'Пр.взв'!$D$6:$M$63,8,0))</f>
        <v>Свердловская</v>
      </c>
      <c r="F77" s="130">
        <f>B79</f>
        <v>37</v>
      </c>
      <c r="G77" s="134"/>
      <c r="H77" s="132">
        <v>34.0</v>
      </c>
      <c r="I77" s="136"/>
      <c r="J77" s="133" t="str">
        <f>IF(H77="Х","Х",IF($AC77&lt;6," ","Х"))</f>
        <v> </v>
      </c>
      <c r="K77" s="134"/>
      <c r="L77" s="133" t="str">
        <f>IF(J77="Х","Х",IF(K77&lt;3," ",IF($AC77&lt;6," ","Х")))</f>
        <v> </v>
      </c>
      <c r="M77" s="134"/>
      <c r="N77" s="133" t="str">
        <f>IF(L77="Х","Х",IF(M77&lt;3," ",IF($AC77&lt;6," ","Х")))</f>
        <v> </v>
      </c>
      <c r="O77" s="134"/>
      <c r="P77" s="133" t="str">
        <f>IF(N77="Х","Х",IF(O77&lt;3," ",IF($AC77&lt;6," ","Х")))</f>
        <v> </v>
      </c>
      <c r="Q77" s="134"/>
      <c r="R77" s="133" t="str">
        <f>IF(P77="Х","Х",IF(Q77&lt;3," ",IF($AC77&lt;6," ","Х")))</f>
        <v> </v>
      </c>
      <c r="S77" s="134"/>
      <c r="T77" s="133" t="str">
        <f>IF(R77="Х","Х",IF(S77&lt;3," ",IF($AC77&lt;6," ","Х")))</f>
        <v> </v>
      </c>
      <c r="U77" s="135"/>
      <c r="V77" s="133" t="str">
        <f>IF(T77="Х","Х",IF(U77&lt;3," ",IF($AC77&lt;6," ","Х")))</f>
        <v> </v>
      </c>
      <c r="W77" s="135"/>
      <c r="X77" s="133" t="str">
        <f>IF(V77="А1",$AZ$7,IF(V77="Б2",$AZ$6,IF(V77="Б1",$BA$7,IF(V77="А2",$BA$6,IF(V77="Х","Х",IF(V77&lt;6," "," "))))))</f>
        <v> </v>
      </c>
      <c r="Y77" s="136"/>
      <c r="Z77" s="133" t="str">
        <f>IF(V77="Х","Х",IF(ISBLANK(Y77),"",IF(Y77&gt;2.5," ",IF(B77=BB$6,BB$7,BB$6))))</f>
        <v/>
      </c>
      <c r="AA77" s="136"/>
      <c r="AB77" s="240" t="str">
        <f>IF(H77="Х",F$5,IF(J77="Х",H$5,IF(L77="Х",J$5,IF(N77="Х",L$5,IF(P77="Х",N$5,IF(R77="Х",P$5,IF(T77="Х",R$5,IF(X77="Х",T$5,""))))))))</f>
        <v/>
      </c>
      <c r="AC77" s="138">
        <f>SUM(G77+I77+K77+M77+O77+Q77+S77+U77+Y77+AA77)</f>
        <v>0</v>
      </c>
      <c r="AD77" s="241" t="str">
        <f>AF77</f>
        <v>1-54</v>
      </c>
      <c r="AE77" s="140" t="str">
        <f>AD77</f>
        <v>1-54</v>
      </c>
      <c r="AF77" s="141" t="str">
        <f>COUNTIF(AG$6:AG$148,"&gt;"&amp;AG$6:AG$148)+1&amp;REPT("-"&amp;COUNTIF(AG$6:AG$148,"&gt;="&amp;AG$6:AG$148),COUNTIF(AG$6:AG$148,AG77)&gt;1)</f>
        <v>1-54</v>
      </c>
      <c r="AG77" s="142">
        <f>(AR77*100)+(AP77*10)-AC77</f>
        <v>1280</v>
      </c>
      <c r="AH77" s="143" t="str">
        <f>IF(OR(F77="Х",F77="св")," ",IF(AND(G77&gt;=0,G77&lt;3),"1"," "))</f>
        <v>1</v>
      </c>
      <c r="AI77" s="90" t="str">
        <f>IF(OR(H77="Х",H77="св")," ",IF(AND(I77&gt;=0,I77&lt;3),"1"," "))</f>
        <v>1</v>
      </c>
      <c r="AJ77" s="90" t="str">
        <f>IF(OR(J77="Х",J77="св")," ",IF(AND(K77&gt;=0,K77&lt;3),"1"," "))</f>
        <v>1</v>
      </c>
      <c r="AK77" s="90" t="str">
        <f>IF(OR(L77="Х",L77="св")," ",IF(AND(M77&gt;=0,M77&lt;3),"1"," "))</f>
        <v>1</v>
      </c>
      <c r="AL77" s="90" t="str">
        <f>IF(OR(N77="Х",N77="св")," ",IF(AND(O77&gt;=0,O77&lt;3),"1"," "))</f>
        <v>1</v>
      </c>
      <c r="AM77" s="90" t="str">
        <f>IF(OR(P77="Х",P77="св")," ",IF(AND(Q77&gt;=0,Q77&lt;3),"1"," "))</f>
        <v>1</v>
      </c>
      <c r="AN77" s="90" t="str">
        <f>IF(OR(R77="Х",R77="св")," ",IF(AND(S77&gt;=0,S77&lt;3),"1"," "))</f>
        <v>1</v>
      </c>
      <c r="AO77" s="90" t="str">
        <f>IF(OR(T77="Х",T77="св")," ",IF(AND(U77&gt;=0,U77&lt;3),"1"," "))</f>
        <v>1</v>
      </c>
      <c r="AP77" s="90">
        <f>COUNTIF(AH77:AO78,1)</f>
        <v>8</v>
      </c>
      <c r="AQ77" s="90">
        <f>AG77-AC77</f>
        <v>1280</v>
      </c>
      <c r="AR77" s="144">
        <f>IF(F77=0,0,IF(F77="Х",1,IF(H77="Х",2,IF(J77="Х",3,IF(L77="Х",4,IF(N77="Х",5,IF(P77="Х",6,IF(R77="Х",7,IF(T77="Х",8,IF(V77="Х",9,IF(Y77&gt;2.5,10,IF(AA77&gt;2.5,11,IF(AA77&gt;=0,12,IF(AA77=" ",0,))))))))))))))</f>
        <v>12</v>
      </c>
      <c r="AS77" s="90" t="str">
        <f>COUNTIF(AG$6:AG$134,"&gt;"&amp;AG$6:AG$134)+1&amp;REPT("-"&amp;COUNTIF(AG$6:AG$134,"&gt;="&amp;AG$6:AG$134),COUNTIF(AG$6:AG$134,AG77)&gt;1)</f>
        <v>1-54</v>
      </c>
      <c r="AT77" s="143" t="str">
        <f t="shared" ref="AT77:AW77" si="41">COUNTIF(AU$6:AU$134,"&gt;"&amp;AU$6:AU$134)+1&amp;REPT("-"&amp;COUNTIF(AU$6:AU$134,"&gt;="&amp;AU$6:AU$134),COUNTIF(AU$6:AU$134,AU77)&gt;1)</f>
        <v>1-64</v>
      </c>
      <c r="AU77" s="143" t="str">
        <f t="shared" si="41"/>
        <v>1-0</v>
      </c>
      <c r="AV77" s="143" t="str">
        <f t="shared" si="41"/>
        <v>1</v>
      </c>
      <c r="AW77" s="143" t="str">
        <f t="shared" si="41"/>
        <v>29</v>
      </c>
      <c r="AX77" s="145">
        <f>IF(X77="Х","Х",IF(Y77&lt;3,B77,"Х"))</f>
        <v>36</v>
      </c>
      <c r="AY77" s="146" t="s">
        <v>362</v>
      </c>
      <c r="AZ77" s="146"/>
      <c r="BA77" s="146" t="s">
        <v>362</v>
      </c>
      <c r="BB77" s="146"/>
      <c r="BC77" s="49" t="s">
        <v>362</v>
      </c>
      <c r="BD77" s="225"/>
      <c r="BE77" s="49" t="s">
        <v>362</v>
      </c>
      <c r="BF77" s="224"/>
      <c r="BG77" s="49" t="s">
        <v>362</v>
      </c>
      <c r="BH77" s="49" t="s">
        <v>362</v>
      </c>
      <c r="BI77" s="49"/>
      <c r="BJ77" s="49"/>
      <c r="BK77" s="49"/>
      <c r="BL77" s="49"/>
      <c r="BM77" s="195">
        <v>36.0</v>
      </c>
      <c r="BN77" s="196">
        <v>37.0</v>
      </c>
      <c r="BO77" s="153">
        <f>IF(BM77&lt;BN77,BM77,"")</f>
        <v>36</v>
      </c>
      <c r="BP77" s="196">
        <v>36.0</v>
      </c>
      <c r="BQ77" s="197"/>
      <c r="BR77" s="198">
        <v>36.0</v>
      </c>
      <c r="BS77" s="196">
        <v>34.0</v>
      </c>
      <c r="BT77" s="175" t="str">
        <f>IF(BR77&lt;BS77,BR77,"")</f>
        <v/>
      </c>
      <c r="BU77" s="196" t="s">
        <v>362</v>
      </c>
      <c r="BV77" s="196"/>
      <c r="BW77" s="199">
        <v>36.0</v>
      </c>
      <c r="BX77" s="74" t="s">
        <v>361</v>
      </c>
      <c r="BY77" s="160">
        <f t="array" ref="BY77">IF(BW77&lt;BX77,BW77,"")</f>
        <v>36</v>
      </c>
      <c r="BZ77" s="160">
        <f t="shared" si="34"/>
        <v>36</v>
      </c>
      <c r="CA77" s="74"/>
      <c r="CB77" s="74" t="str">
        <f t="shared" si="35"/>
        <v>св</v>
      </c>
      <c r="CC77" s="200"/>
      <c r="CD77" s="243"/>
      <c r="CE77" s="200">
        <v>36.0</v>
      </c>
      <c r="CF77" s="25" t="s">
        <v>361</v>
      </c>
      <c r="CG77" s="153">
        <f t="array" ref="CG77">IF(CE77&lt;CF77,CE77,"")</f>
        <v>36</v>
      </c>
      <c r="CH77" s="74">
        <v>36.0</v>
      </c>
      <c r="CI77" s="182"/>
      <c r="CJ77" s="93">
        <v>36.0</v>
      </c>
      <c r="CK77" s="233" t="s">
        <v>361</v>
      </c>
      <c r="CL77" s="153">
        <f t="array" ref="CL77">IF(CJ77&lt;CK77,CJ77,"")</f>
        <v>36</v>
      </c>
      <c r="CM77" s="49">
        <v>36.0</v>
      </c>
      <c r="CN77" s="49"/>
      <c r="CO77" s="74">
        <v>36.0</v>
      </c>
      <c r="CP77" s="200" t="s">
        <v>361</v>
      </c>
      <c r="CQ77" s="153">
        <f t="array" ref="CQ77">IF(CO77&lt;CP77,CO77,"")</f>
        <v>36</v>
      </c>
      <c r="CR77" s="93">
        <v>36.0</v>
      </c>
      <c r="CS77" s="234"/>
      <c r="CT77" s="200">
        <v>36.0</v>
      </c>
      <c r="CU77" s="74" t="s">
        <v>361</v>
      </c>
      <c r="CV77" s="153">
        <f t="array" ref="CV77">IF(CT77&lt;CU77,CT77,"")</f>
        <v>36</v>
      </c>
      <c r="CW77" s="49">
        <v>36.0</v>
      </c>
      <c r="CX77" s="49"/>
      <c r="CY77" s="49">
        <v>36.0</v>
      </c>
      <c r="CZ77" s="49" t="s">
        <v>361</v>
      </c>
      <c r="DA77" s="153">
        <f t="array" ref="DA77">IF(CY77&lt;CZ77,CY77,"")</f>
        <v>36</v>
      </c>
      <c r="DB77" s="49">
        <v>36.0</v>
      </c>
      <c r="DC77" s="49"/>
      <c r="DD77" s="49">
        <v>36.0</v>
      </c>
      <c r="DE77" s="49"/>
      <c r="DF77" s="49"/>
      <c r="DG77" s="49"/>
      <c r="DH77" s="49"/>
    </row>
    <row r="78" ht="13.5" customHeight="1">
      <c r="A78" s="54"/>
      <c r="B78" s="165"/>
      <c r="C78" s="165"/>
      <c r="D78" s="165"/>
      <c r="E78" s="165"/>
      <c r="F78" s="166"/>
      <c r="G78" s="167"/>
      <c r="H78" s="168"/>
      <c r="I78" s="167"/>
      <c r="J78" s="168"/>
      <c r="K78" s="167"/>
      <c r="L78" s="168"/>
      <c r="M78" s="167"/>
      <c r="N78" s="168"/>
      <c r="O78" s="167"/>
      <c r="P78" s="168"/>
      <c r="Q78" s="167"/>
      <c r="R78" s="168"/>
      <c r="S78" s="167"/>
      <c r="T78" s="168"/>
      <c r="U78" s="169"/>
      <c r="V78" s="168"/>
      <c r="W78" s="169"/>
      <c r="X78" s="168"/>
      <c r="Y78" s="167"/>
      <c r="Z78" s="168"/>
      <c r="AA78" s="167"/>
      <c r="AB78" s="166"/>
      <c r="AC78" s="165"/>
      <c r="AD78" s="168"/>
      <c r="AE78" s="170"/>
      <c r="AF78" s="171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Y78" s="146" t="s">
        <v>362</v>
      </c>
      <c r="AZ78" s="146"/>
      <c r="BA78" s="146" t="s">
        <v>362</v>
      </c>
      <c r="BB78" s="146"/>
      <c r="BC78" s="49" t="s">
        <v>362</v>
      </c>
      <c r="BD78" s="225"/>
      <c r="BE78" s="49" t="s">
        <v>362</v>
      </c>
      <c r="BF78" s="224"/>
      <c r="BG78" s="49" t="s">
        <v>362</v>
      </c>
      <c r="BH78" s="49" t="s">
        <v>362</v>
      </c>
      <c r="BI78" s="49"/>
      <c r="BJ78" s="49"/>
      <c r="BK78" s="49"/>
      <c r="BL78" s="49"/>
      <c r="BM78" s="178"/>
      <c r="BO78" s="175">
        <f>IF(BO77="","",BN77)</f>
        <v>37</v>
      </c>
      <c r="BP78" s="175">
        <v>37.0</v>
      </c>
      <c r="BQ78" s="197"/>
      <c r="BT78" s="175" t="str">
        <f>IF(BT77="","",BS77)</f>
        <v/>
      </c>
      <c r="BU78" s="175" t="s">
        <v>362</v>
      </c>
      <c r="BV78" s="196"/>
      <c r="BW78" s="178"/>
      <c r="BY78" s="160" t="str">
        <f>IF(BY77="","",BX77)</f>
        <v> </v>
      </c>
      <c r="BZ78" s="160" t="str">
        <f t="shared" si="34"/>
        <v> </v>
      </c>
      <c r="CA78" s="200"/>
      <c r="CB78" s="74" t="str">
        <f t="shared" si="35"/>
        <v>св</v>
      </c>
      <c r="CC78" s="200"/>
      <c r="CD78" s="243"/>
      <c r="CG78" s="180" t="str">
        <f>IF(CG77="","",CF77)</f>
        <v> </v>
      </c>
      <c r="CH78" s="200" t="s">
        <v>361</v>
      </c>
      <c r="CI78" s="182"/>
      <c r="CJ78" s="49" t="s">
        <v>362</v>
      </c>
      <c r="CK78" s="235"/>
      <c r="CL78" s="180" t="str">
        <f>IF(CL77="","",CK77)</f>
        <v> </v>
      </c>
      <c r="CM78" s="49" t="s">
        <v>361</v>
      </c>
      <c r="CN78" s="49"/>
      <c r="CQ78" s="180" t="str">
        <f>IF(CQ77="","",CP77)</f>
        <v> </v>
      </c>
      <c r="CR78" s="49" t="s">
        <v>361</v>
      </c>
      <c r="CS78" s="234"/>
      <c r="CV78" s="180" t="str">
        <f>IF(CV77="","",CU77)</f>
        <v> </v>
      </c>
      <c r="CW78" s="49" t="s">
        <v>361</v>
      </c>
      <c r="CX78" s="49"/>
      <c r="CY78" s="49" t="s">
        <v>362</v>
      </c>
      <c r="CZ78" s="49"/>
      <c r="DA78" s="180" t="str">
        <f>IF(DA77="","",CZ77)</f>
        <v> </v>
      </c>
      <c r="DB78" s="49" t="s">
        <v>361</v>
      </c>
      <c r="DC78" s="49"/>
      <c r="DD78" s="49" t="s">
        <v>362</v>
      </c>
      <c r="DE78" s="49"/>
      <c r="DF78" s="49"/>
      <c r="DG78" s="49"/>
      <c r="DH78" s="49"/>
    </row>
    <row r="79" ht="13.5" customHeight="1">
      <c r="A79" s="54"/>
      <c r="B79" s="187">
        <v>37.0</v>
      </c>
      <c r="C79" s="188" t="str">
        <f>(VLOOKUP($B79,'Пр.взв'!$D$6:$J$63,2,0))</f>
        <v>ШУРАЛЕВ Павел</v>
      </c>
      <c r="D79" s="189" t="str">
        <f>(VLOOKUP($B79,'Пр.взв'!$D$6:$J$63,5,0))</f>
        <v>КМС</v>
      </c>
      <c r="E79" s="190" t="str">
        <f>(VLOOKUP($B79,'Пр.взв'!$D$6:$M$63,8,0))</f>
        <v>Московская</v>
      </c>
      <c r="F79" s="130">
        <f>B77</f>
        <v>36</v>
      </c>
      <c r="G79" s="255"/>
      <c r="H79" s="132">
        <v>35.0</v>
      </c>
      <c r="I79" s="255"/>
      <c r="J79" s="133" t="str">
        <f>IF(H79="Х","Х",IF($AC79&lt;6," ","Х"))</f>
        <v> </v>
      </c>
      <c r="K79" s="134"/>
      <c r="L79" s="133" t="str">
        <f>IF(J79="Х","Х",IF(K79&lt;3," ",IF($AC79&lt;6," ","Х")))</f>
        <v> </v>
      </c>
      <c r="M79" s="134"/>
      <c r="N79" s="133" t="str">
        <f>IF(L79="Х","Х",IF(M79&lt;3," ",IF($AC79&lt;6," ","Х")))</f>
        <v> </v>
      </c>
      <c r="O79" s="134"/>
      <c r="P79" s="133" t="str">
        <f>IF(N79="Х","Х",IF(O79&lt;3," ",IF($AC79&lt;6," ","Х")))</f>
        <v> </v>
      </c>
      <c r="Q79" s="134"/>
      <c r="R79" s="133" t="str">
        <f>IF(P79="Х","Х",IF(Q79&lt;3," ",IF($AC79&lt;6," ","Х")))</f>
        <v> </v>
      </c>
      <c r="S79" s="134"/>
      <c r="T79" s="133" t="str">
        <f>IF(R79="Х","Х",IF(S79&lt;3," ",IF($AC79&lt;6," ","Х")))</f>
        <v> </v>
      </c>
      <c r="U79" s="135"/>
      <c r="V79" s="133" t="str">
        <f>IF(T79="Х","Х",IF(U79&lt;3," ",IF($AC79&lt;6," ","Х")))</f>
        <v> </v>
      </c>
      <c r="W79" s="135"/>
      <c r="X79" s="133" t="str">
        <f>IF(V79="А1",$AZ$7,IF(V79="Б2",$AZ$6,IF(V79="Б1",$BA$7,IF(V79="А2",$BA$6,IF(V79="Х","Х",IF(V79&lt;6," "," "))))))</f>
        <v> </v>
      </c>
      <c r="Y79" s="136"/>
      <c r="Z79" s="133" t="str">
        <f>IF(V79="Х","Х",IF(ISBLANK(Y79),"",IF(Y79&gt;2.5," ",IF(B79=BB$6,BB$7,BB$6))))</f>
        <v/>
      </c>
      <c r="AA79" s="136"/>
      <c r="AB79" s="240" t="str">
        <f>IF(H79="Х",F$5,IF(J79="Х",H$5,IF(L79="Х",J$5,IF(N79="Х",L$5,IF(P79="Х",N$5,IF(R79="Х",P$5,IF(T79="Х",R$5,IF(X79="Х",T$5,""))))))))</f>
        <v/>
      </c>
      <c r="AC79" s="138">
        <f>SUM(G79+I79+K79+M79+O79+Q79+S79+U79+Y79+AA79)</f>
        <v>0</v>
      </c>
      <c r="AD79" s="241" t="str">
        <f>AF79</f>
        <v>1-54</v>
      </c>
      <c r="AE79" s="140" t="str">
        <f>AD79</f>
        <v>1-54</v>
      </c>
      <c r="AF79" s="141" t="str">
        <f>COUNTIF(AG$6:AG$148,"&gt;"&amp;AG$6:AG$148)+1&amp;REPT("-"&amp;COUNTIF(AG$6:AG$148,"&gt;="&amp;AG$6:AG$148),COUNTIF(AG$6:AG$148,AG79)&gt;1)</f>
        <v>1-54</v>
      </c>
      <c r="AG79" s="142">
        <f>(AR79*100)+(AP79*10)-AC79</f>
        <v>1280</v>
      </c>
      <c r="AH79" s="143" t="str">
        <f>IF(OR(F79="Х",F79="св")," ",IF(AND(G79&gt;=0,G79&lt;3),"1"," "))</f>
        <v>1</v>
      </c>
      <c r="AI79" s="90" t="str">
        <f>IF(OR(H79="Х",H79="св")," ",IF(AND(I79&gt;=0,I79&lt;3),"1"," "))</f>
        <v>1</v>
      </c>
      <c r="AJ79" s="90" t="str">
        <f>IF(OR(J79="Х",J79="св")," ",IF(AND(K79&gt;=0,K79&lt;3),"1"," "))</f>
        <v>1</v>
      </c>
      <c r="AK79" s="90" t="str">
        <f>IF(OR(L79="Х",L79="св")," ",IF(AND(M79&gt;=0,M79&lt;3),"1"," "))</f>
        <v>1</v>
      </c>
      <c r="AL79" s="90" t="str">
        <f>IF(OR(N79="Х",N79="св")," ",IF(AND(O79&gt;=0,O79&lt;3),"1"," "))</f>
        <v>1</v>
      </c>
      <c r="AM79" s="90" t="str">
        <f>IF(OR(P79="Х",P79="св")," ",IF(AND(Q79&gt;=0,Q79&lt;3),"1"," "))</f>
        <v>1</v>
      </c>
      <c r="AN79" s="90" t="str">
        <f>IF(OR(R79="Х",R79="св")," ",IF(AND(S79&gt;=0,S79&lt;3),"1"," "))</f>
        <v>1</v>
      </c>
      <c r="AO79" s="90" t="str">
        <f>IF(OR(T79="Х",T79="св")," ",IF(AND(U79&gt;=0,U79&lt;3),"1"," "))</f>
        <v>1</v>
      </c>
      <c r="AP79" s="90">
        <f>COUNTIF(AH79:AO80,1)</f>
        <v>8</v>
      </c>
      <c r="AQ79" s="90">
        <f>AG79-AC79</f>
        <v>1280</v>
      </c>
      <c r="AR79" s="144">
        <f>IF(F79=0,0,IF(F79="Х",1,IF(H79="Х",2,IF(J79="Х",3,IF(L79="Х",4,IF(N79="Х",5,IF(P79="Х",6,IF(R79="Х",7,IF(T79="Х",8,IF(V79="Х",9,IF(Y79&gt;2.5,10,IF(AA79&gt;2.5,11,IF(AA79&gt;=0,12,IF(AA79=" ",0,))))))))))))))</f>
        <v>12</v>
      </c>
      <c r="AS79" s="90" t="str">
        <f>COUNTIF(AG$6:AG$134,"&gt;"&amp;AG$6:AG$134)+1&amp;REPT("-"&amp;COUNTIF(AG$6:AG$134,"&gt;="&amp;AG$6:AG$134),COUNTIF(AG$6:AG$134,AG79)&gt;1)</f>
        <v>1-54</v>
      </c>
      <c r="AT79" s="143" t="str">
        <f t="shared" ref="AT79:AW79" si="42">COUNTIF(AU$6:AU$134,"&gt;"&amp;AU$6:AU$134)+1&amp;REPT("-"&amp;COUNTIF(AU$6:AU$134,"&gt;="&amp;AU$6:AU$134),COUNTIF(AU$6:AU$134,AU79)&gt;1)</f>
        <v>1-64</v>
      </c>
      <c r="AU79" s="143" t="str">
        <f t="shared" si="42"/>
        <v>1-0</v>
      </c>
      <c r="AV79" s="143" t="str">
        <f t="shared" si="42"/>
        <v>1</v>
      </c>
      <c r="AW79" s="143" t="str">
        <f t="shared" si="42"/>
        <v>28</v>
      </c>
      <c r="AX79" s="145">
        <f>IF(X79="Х","Х",IF(Y79&lt;3,B79,"Х"))</f>
        <v>37</v>
      </c>
      <c r="AY79" s="146" t="s">
        <v>362</v>
      </c>
      <c r="AZ79" s="146"/>
      <c r="BA79" s="146" t="s">
        <v>362</v>
      </c>
      <c r="BB79" s="146"/>
      <c r="BC79" s="49" t="s">
        <v>362</v>
      </c>
      <c r="BD79" s="225"/>
      <c r="BE79" s="49" t="s">
        <v>362</v>
      </c>
      <c r="BF79" s="224"/>
      <c r="BG79" s="49" t="s">
        <v>362</v>
      </c>
      <c r="BH79" s="49" t="s">
        <v>362</v>
      </c>
      <c r="BI79" s="49"/>
      <c r="BJ79" s="49"/>
      <c r="BK79" s="49"/>
      <c r="BL79" s="49"/>
      <c r="BM79" s="195">
        <v>37.0</v>
      </c>
      <c r="BN79" s="196">
        <v>36.0</v>
      </c>
      <c r="BO79" s="153" t="str">
        <f>IF(BM79&lt;BN79,BM79,"")</f>
        <v/>
      </c>
      <c r="BP79" s="196" t="s">
        <v>362</v>
      </c>
      <c r="BQ79" s="197"/>
      <c r="BR79" s="198">
        <v>37.0</v>
      </c>
      <c r="BS79" s="196">
        <v>35.0</v>
      </c>
      <c r="BT79" s="175" t="str">
        <f>IF(BR79&lt;BS79,BR79,"")</f>
        <v/>
      </c>
      <c r="BU79" s="196" t="s">
        <v>362</v>
      </c>
      <c r="BV79" s="196"/>
      <c r="BW79" s="199">
        <v>37.0</v>
      </c>
      <c r="BX79" s="74" t="s">
        <v>361</v>
      </c>
      <c r="BY79" s="160">
        <f t="array" ref="BY79">IF(BW79&lt;BX79,BW79,"")</f>
        <v>37</v>
      </c>
      <c r="BZ79" s="160">
        <f t="shared" si="34"/>
        <v>37</v>
      </c>
      <c r="CA79" s="74"/>
      <c r="CB79" s="74" t="str">
        <f t="shared" si="35"/>
        <v>св</v>
      </c>
      <c r="CC79" s="200"/>
      <c r="CD79" s="243"/>
      <c r="CE79" s="200">
        <v>37.0</v>
      </c>
      <c r="CF79" s="25" t="s">
        <v>361</v>
      </c>
      <c r="CG79" s="153">
        <f t="array" ref="CG79">IF(CE79&lt;CF79,CE79,"")</f>
        <v>37</v>
      </c>
      <c r="CH79" s="74">
        <v>37.0</v>
      </c>
      <c r="CI79" s="182"/>
      <c r="CJ79" s="93">
        <v>37.0</v>
      </c>
      <c r="CK79" s="233" t="s">
        <v>361</v>
      </c>
      <c r="CL79" s="153">
        <f t="array" ref="CL79">IF(CJ79&lt;CK79,CJ79,"")</f>
        <v>37</v>
      </c>
      <c r="CM79" s="49">
        <v>37.0</v>
      </c>
      <c r="CN79" s="49"/>
      <c r="CO79" s="74">
        <v>37.0</v>
      </c>
      <c r="CP79" s="200" t="s">
        <v>361</v>
      </c>
      <c r="CQ79" s="153">
        <f t="array" ref="CQ79">IF(CO79&lt;CP79,CO79,"")</f>
        <v>37</v>
      </c>
      <c r="CR79" s="93">
        <v>37.0</v>
      </c>
      <c r="CS79" s="234"/>
      <c r="CT79" s="200">
        <v>37.0</v>
      </c>
      <c r="CU79" s="74" t="s">
        <v>361</v>
      </c>
      <c r="CV79" s="153">
        <f t="array" ref="CV79">IF(CT79&lt;CU79,CT79,"")</f>
        <v>37</v>
      </c>
      <c r="CW79" s="49">
        <v>37.0</v>
      </c>
      <c r="CX79" s="49"/>
      <c r="CY79" s="49">
        <v>37.0</v>
      </c>
      <c r="CZ79" s="49" t="s">
        <v>361</v>
      </c>
      <c r="DA79" s="153">
        <f t="array" ref="DA79">IF(CY79&lt;CZ79,CY79,"")</f>
        <v>37</v>
      </c>
      <c r="DB79" s="49">
        <v>37.0</v>
      </c>
      <c r="DC79" s="49"/>
      <c r="DD79" s="49">
        <v>37.0</v>
      </c>
      <c r="DE79" s="49"/>
      <c r="DF79" s="49"/>
      <c r="DG79" s="49"/>
      <c r="DH79" s="49"/>
    </row>
    <row r="80" ht="13.5" customHeight="1">
      <c r="A80" s="54"/>
      <c r="B80" s="165"/>
      <c r="C80" s="165"/>
      <c r="D80" s="165"/>
      <c r="E80" s="165"/>
      <c r="F80" s="166"/>
      <c r="G80" s="167"/>
      <c r="H80" s="168"/>
      <c r="I80" s="167"/>
      <c r="J80" s="168"/>
      <c r="K80" s="167"/>
      <c r="L80" s="168"/>
      <c r="M80" s="167"/>
      <c r="N80" s="168"/>
      <c r="O80" s="167"/>
      <c r="P80" s="168"/>
      <c r="Q80" s="167"/>
      <c r="R80" s="168"/>
      <c r="S80" s="167"/>
      <c r="T80" s="168"/>
      <c r="U80" s="169"/>
      <c r="V80" s="168"/>
      <c r="W80" s="169"/>
      <c r="X80" s="168"/>
      <c r="Y80" s="167"/>
      <c r="Z80" s="168"/>
      <c r="AA80" s="167"/>
      <c r="AB80" s="166"/>
      <c r="AC80" s="165"/>
      <c r="AD80" s="168"/>
      <c r="AE80" s="170"/>
      <c r="AF80" s="171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Y80" s="146" t="s">
        <v>362</v>
      </c>
      <c r="AZ80" s="146"/>
      <c r="BA80" s="146" t="s">
        <v>362</v>
      </c>
      <c r="BB80" s="146"/>
      <c r="BC80" s="49" t="s">
        <v>362</v>
      </c>
      <c r="BD80" s="225"/>
      <c r="BE80" s="49" t="s">
        <v>362</v>
      </c>
      <c r="BF80" s="224"/>
      <c r="BG80" s="49" t="s">
        <v>362</v>
      </c>
      <c r="BH80" s="49" t="s">
        <v>362</v>
      </c>
      <c r="BI80" s="49"/>
      <c r="BJ80" s="49"/>
      <c r="BK80" s="49"/>
      <c r="BL80" s="49"/>
      <c r="BM80" s="178"/>
      <c r="BO80" s="175" t="str">
        <f>IF(BO79="","",BN79)</f>
        <v/>
      </c>
      <c r="BP80" s="175" t="s">
        <v>362</v>
      </c>
      <c r="BQ80" s="197"/>
      <c r="BT80" s="175" t="str">
        <f>IF(BT79="","",BS79)</f>
        <v/>
      </c>
      <c r="BU80" s="175" t="s">
        <v>362</v>
      </c>
      <c r="BV80" s="196"/>
      <c r="BW80" s="178"/>
      <c r="BY80" s="160" t="str">
        <f>IF(BY79="","",BX79)</f>
        <v> </v>
      </c>
      <c r="BZ80" s="160" t="str">
        <f t="shared" si="34"/>
        <v> </v>
      </c>
      <c r="CA80" s="200"/>
      <c r="CB80" s="74" t="str">
        <f t="shared" si="35"/>
        <v>св</v>
      </c>
      <c r="CC80" s="200"/>
      <c r="CD80" s="243"/>
      <c r="CG80" s="180" t="str">
        <f>IF(CG79="","",CF79)</f>
        <v> </v>
      </c>
      <c r="CH80" s="200" t="s">
        <v>361</v>
      </c>
      <c r="CI80" s="182"/>
      <c r="CJ80" s="49" t="s">
        <v>362</v>
      </c>
      <c r="CK80" s="235"/>
      <c r="CL80" s="180" t="str">
        <f>IF(CL79="","",CK79)</f>
        <v> </v>
      </c>
      <c r="CM80" s="49" t="s">
        <v>361</v>
      </c>
      <c r="CN80" s="49"/>
      <c r="CQ80" s="180" t="str">
        <f>IF(CQ79="","",CP79)</f>
        <v> </v>
      </c>
      <c r="CR80" s="49" t="s">
        <v>361</v>
      </c>
      <c r="CS80" s="234"/>
      <c r="CV80" s="180" t="str">
        <f>IF(CV79="","",CU79)</f>
        <v> </v>
      </c>
      <c r="CW80" s="49" t="s">
        <v>361</v>
      </c>
      <c r="CX80" s="49"/>
      <c r="CY80" s="49" t="s">
        <v>362</v>
      </c>
      <c r="CZ80" s="49"/>
      <c r="DA80" s="180" t="str">
        <f>IF(DA79="","",CZ79)</f>
        <v> </v>
      </c>
      <c r="DB80" s="49" t="s">
        <v>361</v>
      </c>
      <c r="DC80" s="49"/>
      <c r="DD80" s="49" t="s">
        <v>362</v>
      </c>
      <c r="DE80" s="49"/>
      <c r="DF80" s="49"/>
      <c r="DG80" s="49"/>
      <c r="DH80" s="49"/>
    </row>
    <row r="81" ht="13.5" customHeight="1">
      <c r="A81" s="54"/>
      <c r="B81" s="187">
        <v>38.0</v>
      </c>
      <c r="C81" s="188" t="str">
        <f>(VLOOKUP($B81,'Пр.взв'!$D$6:$J$63,2,0))</f>
        <v>АЛИЕВ Руслан</v>
      </c>
      <c r="D81" s="189" t="str">
        <f>(VLOOKUP($B81,'Пр.взв'!$D$6:$J$63,5,0))</f>
        <v>КМС</v>
      </c>
      <c r="E81" s="190" t="str">
        <f>(VLOOKUP($B81,'Пр.взв'!$D$6:$M$63,8,0))</f>
        <v>Краснодарский</v>
      </c>
      <c r="F81" s="130">
        <f>B83</f>
        <v>39</v>
      </c>
      <c r="G81" s="134"/>
      <c r="H81" s="132">
        <v>40.0</v>
      </c>
      <c r="I81" s="136"/>
      <c r="J81" s="133" t="str">
        <f>IF(H81="Х","Х",IF($AC81&lt;6," ","Х"))</f>
        <v> </v>
      </c>
      <c r="K81" s="134"/>
      <c r="L81" s="133" t="str">
        <f>IF(J81="Х","Х",IF(K81&lt;3," ",IF($AC81&lt;6," ","Х")))</f>
        <v> </v>
      </c>
      <c r="M81" s="134"/>
      <c r="N81" s="133" t="str">
        <f>IF(L81="Х","Х",IF(M81&lt;3," ",IF($AC81&lt;6," ","Х")))</f>
        <v> </v>
      </c>
      <c r="O81" s="134"/>
      <c r="P81" s="133" t="str">
        <f>IF(N81="Х","Х",IF(O81&lt;3," ",IF($AC81&lt;6," ","Х")))</f>
        <v> </v>
      </c>
      <c r="Q81" s="134"/>
      <c r="R81" s="133" t="str">
        <f>IF(P81="Х","Х",IF(Q81&lt;3," ",IF($AC81&lt;6," ","Х")))</f>
        <v> </v>
      </c>
      <c r="S81" s="134"/>
      <c r="T81" s="133" t="str">
        <f>IF(R81="Х","Х",IF(S81&lt;3," ",IF($AC81&lt;6," ","Х")))</f>
        <v> </v>
      </c>
      <c r="U81" s="135"/>
      <c r="V81" s="133" t="str">
        <f>IF(T81="Х","Х",IF(U81&lt;3," ",IF($AC81&lt;6," ","Х")))</f>
        <v> </v>
      </c>
      <c r="W81" s="135"/>
      <c r="X81" s="133" t="str">
        <f>IF(V81="А1",$AZ$7,IF(V81="Б2",$AZ$6,IF(V81="Б1",$BA$7,IF(V81="А2",$BA$6,IF(V81="Х","Х",IF(V81&lt;6," "," "))))))</f>
        <v> </v>
      </c>
      <c r="Y81" s="136"/>
      <c r="Z81" s="133" t="str">
        <f>IF(V81="Х","Х",IF(ISBLANK(Y81),"",IF(Y81&gt;2.5," ",IF(B81=BB$6,BB$7,BB$6))))</f>
        <v/>
      </c>
      <c r="AA81" s="136"/>
      <c r="AB81" s="240" t="str">
        <f>IF(H81="Х",F$5,IF(J81="Х",H$5,IF(L81="Х",J$5,IF(N81="Х",L$5,IF(P81="Х",N$5,IF(R81="Х",P$5,IF(T81="Х",R$5,IF(X81="Х",T$5,""))))))))</f>
        <v/>
      </c>
      <c r="AC81" s="138">
        <f>SUM(G81+I81+K81+M81+O81+Q81+S81+U81+Y81+AA81)</f>
        <v>0</v>
      </c>
      <c r="AD81" s="241" t="str">
        <f>AF81</f>
        <v>1-54</v>
      </c>
      <c r="AE81" s="140" t="str">
        <f>AD81</f>
        <v>1-54</v>
      </c>
      <c r="AF81" s="141" t="str">
        <f>COUNTIF(AG$6:AG$148,"&gt;"&amp;AG$6:AG$148)+1&amp;REPT("-"&amp;COUNTIF(AG$6:AG$148,"&gt;="&amp;AG$6:AG$148),COUNTIF(AG$6:AG$148,AG81)&gt;1)</f>
        <v>1-54</v>
      </c>
      <c r="AG81" s="142">
        <f>(AR81*100)+(AP81*10)-AC81</f>
        <v>1280</v>
      </c>
      <c r="AH81" s="143" t="str">
        <f>IF(OR(F81="Х",F81="св")," ",IF(AND(G81&gt;=0,G81&lt;3),"1"," "))</f>
        <v>1</v>
      </c>
      <c r="AI81" s="90" t="str">
        <f>IF(OR(H81="Х",H81="св")," ",IF(AND(I81&gt;=0,I81&lt;3),"1"," "))</f>
        <v>1</v>
      </c>
      <c r="AJ81" s="90" t="str">
        <f>IF(OR(J81="Х",J81="св")," ",IF(AND(K81&gt;=0,K81&lt;3),"1"," "))</f>
        <v>1</v>
      </c>
      <c r="AK81" s="90" t="str">
        <f>IF(OR(L81="Х",L81="св")," ",IF(AND(M81&gt;=0,M81&lt;3),"1"," "))</f>
        <v>1</v>
      </c>
      <c r="AL81" s="90" t="str">
        <f>IF(OR(N81="Х",N81="св")," ",IF(AND(O81&gt;=0,O81&lt;3),"1"," "))</f>
        <v>1</v>
      </c>
      <c r="AM81" s="90" t="str">
        <f>IF(OR(P81="Х",P81="св")," ",IF(AND(Q81&gt;=0,Q81&lt;3),"1"," "))</f>
        <v>1</v>
      </c>
      <c r="AN81" s="90" t="str">
        <f>IF(OR(R81="Х",R81="св")," ",IF(AND(S81&gt;=0,S81&lt;3),"1"," "))</f>
        <v>1</v>
      </c>
      <c r="AO81" s="90" t="str">
        <f>IF(OR(T81="Х",T81="св")," ",IF(AND(U81&gt;=0,U81&lt;3),"1"," "))</f>
        <v>1</v>
      </c>
      <c r="AP81" s="90">
        <f>COUNTIF(AH81:AO82,1)</f>
        <v>8</v>
      </c>
      <c r="AQ81" s="90">
        <f>AG81-AC81</f>
        <v>1280</v>
      </c>
      <c r="AR81" s="144">
        <f>IF(F81=0,0,IF(F81="Х",1,IF(H81="Х",2,IF(J81="Х",3,IF(L81="Х",4,IF(N81="Х",5,IF(P81="Х",6,IF(R81="Х",7,IF(T81="Х",8,IF(V81="Х",9,IF(Y81&gt;2.5,10,IF(AA81&gt;2.5,11,IF(AA81&gt;=0,12,IF(AA81=" ",0,))))))))))))))</f>
        <v>12</v>
      </c>
      <c r="AS81" s="90" t="str">
        <f>COUNTIF(AG$6:AG$134,"&gt;"&amp;AG$6:AG$134)+1&amp;REPT("-"&amp;COUNTIF(AG$6:AG$134,"&gt;="&amp;AG$6:AG$134),COUNTIF(AG$6:AG$134,AG81)&gt;1)</f>
        <v>1-54</v>
      </c>
      <c r="AT81" s="143" t="str">
        <f t="shared" ref="AT81:AW81" si="43">COUNTIF(AU$6:AU$134,"&gt;"&amp;AU$6:AU$134)+1&amp;REPT("-"&amp;COUNTIF(AU$6:AU$134,"&gt;="&amp;AU$6:AU$134),COUNTIF(AU$6:AU$134,AU81)&gt;1)</f>
        <v>1-64</v>
      </c>
      <c r="AU81" s="143" t="str">
        <f t="shared" si="43"/>
        <v>1-0</v>
      </c>
      <c r="AV81" s="143" t="str">
        <f t="shared" si="43"/>
        <v>1</v>
      </c>
      <c r="AW81" s="143" t="str">
        <f t="shared" si="43"/>
        <v>27</v>
      </c>
      <c r="AX81" s="145">
        <f>IF(X81="Х","Х",IF(Y81&lt;3,B81,"Х"))</f>
        <v>38</v>
      </c>
      <c r="AY81" s="146" t="s">
        <v>362</v>
      </c>
      <c r="AZ81" s="146"/>
      <c r="BA81" s="146" t="s">
        <v>362</v>
      </c>
      <c r="BB81" s="146"/>
      <c r="BC81" s="49" t="s">
        <v>362</v>
      </c>
      <c r="BD81" s="225"/>
      <c r="BE81" s="49" t="s">
        <v>362</v>
      </c>
      <c r="BF81" s="224"/>
      <c r="BG81" s="49" t="s">
        <v>362</v>
      </c>
      <c r="BH81" s="49" t="s">
        <v>362</v>
      </c>
      <c r="BI81" s="49"/>
      <c r="BJ81" s="49"/>
      <c r="BK81" s="49"/>
      <c r="BL81" s="49"/>
      <c r="BM81" s="195">
        <v>38.0</v>
      </c>
      <c r="BN81" s="196">
        <v>39.0</v>
      </c>
      <c r="BO81" s="153">
        <f>IF(BM81&lt;BN81,BM81,"")</f>
        <v>38</v>
      </c>
      <c r="BP81" s="196">
        <v>38.0</v>
      </c>
      <c r="BQ81" s="197"/>
      <c r="BR81" s="198">
        <v>38.0</v>
      </c>
      <c r="BS81" s="196">
        <v>40.0</v>
      </c>
      <c r="BT81" s="175">
        <f>IF(BR81&lt;BS81,BR81,"")</f>
        <v>38</v>
      </c>
      <c r="BU81" s="196">
        <v>38.0</v>
      </c>
      <c r="BV81" s="196"/>
      <c r="BW81" s="199">
        <v>38.0</v>
      </c>
      <c r="BX81" s="74" t="s">
        <v>361</v>
      </c>
      <c r="BY81" s="160">
        <f t="array" ref="BY81">IF(BW81&lt;BX81,BW81,"")</f>
        <v>38</v>
      </c>
      <c r="BZ81" s="160">
        <f t="shared" si="34"/>
        <v>38</v>
      </c>
      <c r="CA81" s="74"/>
      <c r="CB81" s="74" t="str">
        <f t="shared" si="35"/>
        <v>св</v>
      </c>
      <c r="CC81" s="200"/>
      <c r="CD81" s="243"/>
      <c r="CE81" s="200">
        <v>38.0</v>
      </c>
      <c r="CF81" s="25" t="s">
        <v>361</v>
      </c>
      <c r="CG81" s="153">
        <f t="array" ref="CG81">IF(CE81&lt;CF81,CE81,"")</f>
        <v>38</v>
      </c>
      <c r="CH81" s="74">
        <v>38.0</v>
      </c>
      <c r="CI81" s="182"/>
      <c r="CJ81" s="93">
        <v>38.0</v>
      </c>
      <c r="CK81" s="233" t="s">
        <v>361</v>
      </c>
      <c r="CL81" s="153">
        <f t="array" ref="CL81">IF(CJ81&lt;CK81,CJ81,"")</f>
        <v>38</v>
      </c>
      <c r="CM81" s="49">
        <v>38.0</v>
      </c>
      <c r="CN81" s="49"/>
      <c r="CO81" s="74">
        <v>38.0</v>
      </c>
      <c r="CP81" s="200" t="s">
        <v>361</v>
      </c>
      <c r="CQ81" s="153">
        <f t="array" ref="CQ81">IF(CO81&lt;CP81,CO81,"")</f>
        <v>38</v>
      </c>
      <c r="CR81" s="93">
        <v>38.0</v>
      </c>
      <c r="CS81" s="234"/>
      <c r="CT81" s="200">
        <v>38.0</v>
      </c>
      <c r="CU81" s="74" t="s">
        <v>361</v>
      </c>
      <c r="CV81" s="153">
        <f t="array" ref="CV81">IF(CT81&lt;CU81,CT81,"")</f>
        <v>38</v>
      </c>
      <c r="CW81" s="49">
        <v>38.0</v>
      </c>
      <c r="CX81" s="49"/>
      <c r="CY81" s="49">
        <v>38.0</v>
      </c>
      <c r="CZ81" s="49" t="s">
        <v>361</v>
      </c>
      <c r="DA81" s="153">
        <f t="array" ref="DA81">IF(CY81&lt;CZ81,CY81,"")</f>
        <v>38</v>
      </c>
      <c r="DB81" s="49">
        <v>38.0</v>
      </c>
      <c r="DC81" s="49"/>
      <c r="DD81" s="49">
        <v>38.0</v>
      </c>
      <c r="DE81" s="49"/>
      <c r="DF81" s="49"/>
      <c r="DG81" s="49"/>
      <c r="DH81" s="49"/>
    </row>
    <row r="82" ht="13.5" customHeight="1">
      <c r="A82" s="54"/>
      <c r="B82" s="165"/>
      <c r="C82" s="165"/>
      <c r="D82" s="165"/>
      <c r="E82" s="165"/>
      <c r="F82" s="166"/>
      <c r="G82" s="167"/>
      <c r="H82" s="168"/>
      <c r="I82" s="167"/>
      <c r="J82" s="168"/>
      <c r="K82" s="167"/>
      <c r="L82" s="168"/>
      <c r="M82" s="167"/>
      <c r="N82" s="168"/>
      <c r="O82" s="167"/>
      <c r="P82" s="168"/>
      <c r="Q82" s="167"/>
      <c r="R82" s="168"/>
      <c r="S82" s="167"/>
      <c r="T82" s="168"/>
      <c r="U82" s="169"/>
      <c r="V82" s="168"/>
      <c r="W82" s="169"/>
      <c r="X82" s="168"/>
      <c r="Y82" s="167"/>
      <c r="Z82" s="168"/>
      <c r="AA82" s="167"/>
      <c r="AB82" s="166"/>
      <c r="AC82" s="165"/>
      <c r="AD82" s="168"/>
      <c r="AE82" s="170"/>
      <c r="AF82" s="171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Y82" s="146"/>
      <c r="AZ82" s="146"/>
      <c r="BA82" s="146"/>
      <c r="BB82" s="146"/>
      <c r="BC82" s="49"/>
      <c r="BD82" s="225"/>
      <c r="BE82" s="49"/>
      <c r="BF82" s="224"/>
      <c r="BG82" s="49"/>
      <c r="BH82" s="49"/>
      <c r="BI82" s="49"/>
      <c r="BJ82" s="49"/>
      <c r="BK82" s="49"/>
      <c r="BL82" s="49"/>
      <c r="BM82" s="178"/>
      <c r="BO82" s="175">
        <f>IF(BO81="","",BN81)</f>
        <v>39</v>
      </c>
      <c r="BP82" s="175">
        <v>39.0</v>
      </c>
      <c r="BQ82" s="197"/>
      <c r="BT82" s="175">
        <f>IF(BT81="","",BS81)</f>
        <v>40</v>
      </c>
      <c r="BU82" s="175">
        <v>40.0</v>
      </c>
      <c r="BV82" s="196"/>
      <c r="BW82" s="178"/>
      <c r="BY82" s="160" t="str">
        <f>IF(BY81="","",BX81)</f>
        <v> </v>
      </c>
      <c r="BZ82" s="160" t="str">
        <f t="shared" si="34"/>
        <v> </v>
      </c>
      <c r="CA82" s="200"/>
      <c r="CB82" s="74" t="str">
        <f t="shared" si="35"/>
        <v>св</v>
      </c>
      <c r="CC82" s="200"/>
      <c r="CD82" s="243"/>
      <c r="CG82" s="180" t="str">
        <f>IF(CG81="","",CF81)</f>
        <v> </v>
      </c>
      <c r="CH82" s="200" t="s">
        <v>361</v>
      </c>
      <c r="CI82" s="182"/>
      <c r="CJ82" s="49" t="s">
        <v>362</v>
      </c>
      <c r="CK82" s="235"/>
      <c r="CL82" s="180" t="str">
        <f>IF(CL81="","",CK81)</f>
        <v> </v>
      </c>
      <c r="CM82" s="49" t="s">
        <v>361</v>
      </c>
      <c r="CN82" s="49"/>
      <c r="CQ82" s="180" t="str">
        <f>IF(CQ81="","",CP81)</f>
        <v> </v>
      </c>
      <c r="CR82" s="49" t="s">
        <v>361</v>
      </c>
      <c r="CS82" s="234"/>
      <c r="CV82" s="180" t="str">
        <f>IF(CV81="","",CU81)</f>
        <v> </v>
      </c>
      <c r="CW82" s="49" t="s">
        <v>361</v>
      </c>
      <c r="CX82" s="49"/>
      <c r="CY82" s="49" t="s">
        <v>362</v>
      </c>
      <c r="CZ82" s="49"/>
      <c r="DA82" s="180" t="str">
        <f>IF(DA81="","",CZ81)</f>
        <v> </v>
      </c>
      <c r="DB82" s="49" t="s">
        <v>361</v>
      </c>
      <c r="DC82" s="49"/>
      <c r="DD82" s="49" t="s">
        <v>362</v>
      </c>
      <c r="DE82" s="49"/>
      <c r="DF82" s="49"/>
      <c r="DG82" s="49"/>
      <c r="DH82" s="49"/>
    </row>
    <row r="83" ht="13.5" customHeight="1">
      <c r="A83" s="54"/>
      <c r="B83" s="187">
        <v>39.0</v>
      </c>
      <c r="C83" s="188" t="str">
        <f>(VLOOKUP($B83,'Пр.взв'!$D$6:$J$63,2,0))</f>
        <v>ВЫСКРЕБЕНЦЕВ  Семён</v>
      </c>
      <c r="D83" s="189" t="str">
        <f>(VLOOKUP($B83,'Пр.взв'!$D$6:$J$63,5,0))</f>
        <v>2р</v>
      </c>
      <c r="E83" s="190" t="str">
        <f>(VLOOKUP($B83,'Пр.взв'!$D$6:$M$63,8,0))</f>
        <v>Москва</v>
      </c>
      <c r="F83" s="130">
        <f>B81</f>
        <v>38</v>
      </c>
      <c r="G83" s="255"/>
      <c r="H83" s="132">
        <v>41.0</v>
      </c>
      <c r="I83" s="255"/>
      <c r="J83" s="133" t="str">
        <f>IF(H83="Х","Х",IF($AC83&lt;6," ","Х"))</f>
        <v> </v>
      </c>
      <c r="K83" s="134"/>
      <c r="L83" s="133" t="str">
        <f>IF(J83="Х","Х",IF(K83&lt;3," ",IF($AC83&lt;6," ","Х")))</f>
        <v> </v>
      </c>
      <c r="M83" s="134"/>
      <c r="N83" s="133" t="str">
        <f>IF(L83="Х","Х",IF(M83&lt;3," ",IF($AC83&lt;6," ","Х")))</f>
        <v> </v>
      </c>
      <c r="O83" s="134"/>
      <c r="P83" s="133" t="str">
        <f>IF(N83="Х","Х",IF(O83&lt;3," ",IF($AC83&lt;6," ","Х")))</f>
        <v> </v>
      </c>
      <c r="Q83" s="134"/>
      <c r="R83" s="133" t="str">
        <f>IF(P83="Х","Х",IF(Q83&lt;3," ",IF($AC83&lt;6," ","Х")))</f>
        <v> </v>
      </c>
      <c r="S83" s="134"/>
      <c r="T83" s="133" t="str">
        <f>IF(R83="Х","Х",IF(S83&lt;3," ",IF($AC83&lt;6," ","Х")))</f>
        <v> </v>
      </c>
      <c r="U83" s="135"/>
      <c r="V83" s="133" t="str">
        <f>IF(T83="Х","Х",IF(U83&lt;3," ",IF($AC83&lt;6," ","Х")))</f>
        <v> </v>
      </c>
      <c r="W83" s="135"/>
      <c r="X83" s="133" t="str">
        <f>IF(V83="А1",$AZ$7,IF(V83="Б2",$AZ$6,IF(V83="Б1",$BA$7,IF(V83="А2",$BA$6,IF(V83="Х","Х",IF(V83&lt;6," "," "))))))</f>
        <v> </v>
      </c>
      <c r="Y83" s="136"/>
      <c r="Z83" s="133" t="str">
        <f>IF(V83="Х","Х",IF(ISBLANK(Y83),"",IF(Y83&gt;2.5," ",IF(B83=BB$6,BB$7,BB$6))))</f>
        <v/>
      </c>
      <c r="AA83" s="136"/>
      <c r="AB83" s="240" t="str">
        <f>IF(H83="Х",F$5,IF(J83="Х",H$5,IF(L83="Х",J$5,IF(N83="Х",L$5,IF(P83="Х",N$5,IF(R83="Х",P$5,IF(T83="Х",R$5,IF(X83="Х",T$5,""))))))))</f>
        <v/>
      </c>
      <c r="AC83" s="138">
        <f>SUM(G83+I83+K83+M83+O83+Q83+S83+U83+Y83+AA83)</f>
        <v>0</v>
      </c>
      <c r="AD83" s="241" t="str">
        <f>AF83</f>
        <v>1-54</v>
      </c>
      <c r="AE83" s="140" t="str">
        <f>AD83</f>
        <v>1-54</v>
      </c>
      <c r="AF83" s="141" t="str">
        <f>COUNTIF(AG$6:AG$148,"&gt;"&amp;AG$6:AG$148)+1&amp;REPT("-"&amp;COUNTIF(AG$6:AG$148,"&gt;="&amp;AG$6:AG$148),COUNTIF(AG$6:AG$148,AG83)&gt;1)</f>
        <v>1-54</v>
      </c>
      <c r="AG83" s="142">
        <f>(AR83*100)+(AP83*10)-AC83</f>
        <v>1280</v>
      </c>
      <c r="AH83" s="143" t="str">
        <f>IF(OR(F83="Х",F83="св")," ",IF(AND(G83&gt;=0,G83&lt;3),"1"," "))</f>
        <v>1</v>
      </c>
      <c r="AI83" s="90" t="str">
        <f>IF(OR(H83="Х",H83="св")," ",IF(AND(I83&gt;=0,I83&lt;3),"1"," "))</f>
        <v>1</v>
      </c>
      <c r="AJ83" s="90" t="str">
        <f>IF(OR(J83="Х",J83="св")," ",IF(AND(K83&gt;=0,K83&lt;3),"1"," "))</f>
        <v>1</v>
      </c>
      <c r="AK83" s="90" t="str">
        <f>IF(OR(L83="Х",L83="св")," ",IF(AND(M83&gt;=0,M83&lt;3),"1"," "))</f>
        <v>1</v>
      </c>
      <c r="AL83" s="90" t="str">
        <f>IF(OR(N83="Х",N83="св")," ",IF(AND(O83&gt;=0,O83&lt;3),"1"," "))</f>
        <v>1</v>
      </c>
      <c r="AM83" s="90" t="str">
        <f>IF(OR(P83="Х",P83="св")," ",IF(AND(Q83&gt;=0,Q83&lt;3),"1"," "))</f>
        <v>1</v>
      </c>
      <c r="AN83" s="90" t="str">
        <f>IF(OR(R83="Х",R83="св")," ",IF(AND(S83&gt;=0,S83&lt;3),"1"," "))</f>
        <v>1</v>
      </c>
      <c r="AO83" s="90" t="str">
        <f>IF(OR(T83="Х",T83="св")," ",IF(AND(U83&gt;=0,U83&lt;3),"1"," "))</f>
        <v>1</v>
      </c>
      <c r="AP83" s="90">
        <f>COUNTIF(AH83:AO84,1)</f>
        <v>8</v>
      </c>
      <c r="AQ83" s="90">
        <f>AG83-AC83</f>
        <v>1280</v>
      </c>
      <c r="AR83" s="144">
        <f>IF(F83=0,0,IF(F83="Х",1,IF(H83="Х",2,IF(J83="Х",3,IF(L83="Х",4,IF(N83="Х",5,IF(P83="Х",6,IF(R83="Х",7,IF(T83="Х",8,IF(V83="Х",9,IF(Y83&gt;2.5,10,IF(AA83&gt;2.5,11,IF(AA83&gt;=0,12,IF(AA83=" ",0,))))))))))))))</f>
        <v>12</v>
      </c>
      <c r="AS83" s="90" t="str">
        <f>COUNTIF(AG$6:AG$134,"&gt;"&amp;AG$6:AG$134)+1&amp;REPT("-"&amp;COUNTIF(AG$6:AG$134,"&gt;="&amp;AG$6:AG$134),COUNTIF(AG$6:AG$134,AG83)&gt;1)</f>
        <v>1-54</v>
      </c>
      <c r="AT83" s="143" t="str">
        <f t="shared" ref="AT83:AW83" si="44">COUNTIF(AU$6:AU$134,"&gt;"&amp;AU$6:AU$134)+1&amp;REPT("-"&amp;COUNTIF(AU$6:AU$134,"&gt;="&amp;AU$6:AU$134),COUNTIF(AU$6:AU$134,AU83)&gt;1)</f>
        <v>1-64</v>
      </c>
      <c r="AU83" s="143" t="str">
        <f t="shared" si="44"/>
        <v>1-0</v>
      </c>
      <c r="AV83" s="143" t="str">
        <f t="shared" si="44"/>
        <v>1</v>
      </c>
      <c r="AW83" s="143" t="str">
        <f t="shared" si="44"/>
        <v>26</v>
      </c>
      <c r="AX83" s="145">
        <f>IF(X83="Х","Х",IF(Y83&lt;3,B83,"Х"))</f>
        <v>39</v>
      </c>
      <c r="AY83" s="146"/>
      <c r="AZ83" s="146"/>
      <c r="BA83" s="146"/>
      <c r="BB83" s="146"/>
      <c r="BC83" s="49"/>
      <c r="BD83" s="225"/>
      <c r="BE83" s="49"/>
      <c r="BF83" s="224"/>
      <c r="BG83" s="49"/>
      <c r="BH83" s="49"/>
      <c r="BI83" s="49"/>
      <c r="BJ83" s="49"/>
      <c r="BK83" s="49"/>
      <c r="BL83" s="49"/>
      <c r="BM83" s="195">
        <v>39.0</v>
      </c>
      <c r="BN83" s="196">
        <v>38.0</v>
      </c>
      <c r="BO83" s="153" t="str">
        <f>IF(BM83&lt;BN83,BM83,"")</f>
        <v/>
      </c>
      <c r="BP83" s="196" t="s">
        <v>362</v>
      </c>
      <c r="BQ83" s="197"/>
      <c r="BR83" s="198">
        <v>39.0</v>
      </c>
      <c r="BS83" s="196">
        <v>41.0</v>
      </c>
      <c r="BT83" s="175">
        <f>IF(BR83&lt;BS83,BR83,"")</f>
        <v>39</v>
      </c>
      <c r="BU83" s="196">
        <v>39.0</v>
      </c>
      <c r="BV83" s="196"/>
      <c r="BW83" s="199">
        <v>39.0</v>
      </c>
      <c r="BX83" s="74" t="s">
        <v>361</v>
      </c>
      <c r="BY83" s="160">
        <f t="array" ref="BY83">IF(BW83&lt;BX83,BW83,"")</f>
        <v>39</v>
      </c>
      <c r="BZ83" s="160">
        <f t="shared" si="34"/>
        <v>39</v>
      </c>
      <c r="CA83" s="74"/>
      <c r="CB83" s="74" t="str">
        <f t="shared" si="35"/>
        <v>св</v>
      </c>
      <c r="CC83" s="200"/>
      <c r="CD83" s="243"/>
      <c r="CE83" s="200">
        <v>39.0</v>
      </c>
      <c r="CF83" s="25" t="s">
        <v>361</v>
      </c>
      <c r="CG83" s="153">
        <f t="array" ref="CG83">IF(CE83&lt;CF83,CE83,"")</f>
        <v>39</v>
      </c>
      <c r="CH83" s="74">
        <v>39.0</v>
      </c>
      <c r="CI83" s="182"/>
      <c r="CJ83" s="93">
        <v>39.0</v>
      </c>
      <c r="CK83" s="233" t="s">
        <v>361</v>
      </c>
      <c r="CL83" s="153">
        <f t="array" ref="CL83">IF(CJ83&lt;CK83,CJ83,"")</f>
        <v>39</v>
      </c>
      <c r="CM83" s="49">
        <v>39.0</v>
      </c>
      <c r="CN83" s="49"/>
      <c r="CO83" s="74">
        <v>39.0</v>
      </c>
      <c r="CP83" s="200" t="s">
        <v>361</v>
      </c>
      <c r="CQ83" s="153">
        <f t="array" ref="CQ83">IF(CO83&lt;CP83,CO83,"")</f>
        <v>39</v>
      </c>
      <c r="CR83" s="93">
        <v>39.0</v>
      </c>
      <c r="CS83" s="234"/>
      <c r="CT83" s="200">
        <v>39.0</v>
      </c>
      <c r="CU83" s="74" t="s">
        <v>361</v>
      </c>
      <c r="CV83" s="153">
        <f t="array" ref="CV83">IF(CT83&lt;CU83,CT83,"")</f>
        <v>39</v>
      </c>
      <c r="CW83" s="49">
        <v>39.0</v>
      </c>
      <c r="CX83" s="49"/>
      <c r="CY83" s="49">
        <v>39.0</v>
      </c>
      <c r="CZ83" s="49" t="s">
        <v>361</v>
      </c>
      <c r="DA83" s="153">
        <f t="array" ref="DA83">IF(CY83&lt;CZ83,CY83,"")</f>
        <v>39</v>
      </c>
      <c r="DB83" s="49">
        <v>39.0</v>
      </c>
      <c r="DC83" s="49"/>
      <c r="DD83" s="49">
        <v>39.0</v>
      </c>
      <c r="DE83" s="49"/>
      <c r="DF83" s="49"/>
      <c r="DG83" s="49"/>
      <c r="DH83" s="49"/>
    </row>
    <row r="84" ht="13.5" customHeight="1">
      <c r="A84" s="54"/>
      <c r="B84" s="165"/>
      <c r="C84" s="165"/>
      <c r="D84" s="165"/>
      <c r="E84" s="165"/>
      <c r="F84" s="166"/>
      <c r="G84" s="167"/>
      <c r="H84" s="168"/>
      <c r="I84" s="167"/>
      <c r="J84" s="168"/>
      <c r="K84" s="167"/>
      <c r="L84" s="168"/>
      <c r="M84" s="167"/>
      <c r="N84" s="168"/>
      <c r="O84" s="167"/>
      <c r="P84" s="168"/>
      <c r="Q84" s="167"/>
      <c r="R84" s="168"/>
      <c r="S84" s="167"/>
      <c r="T84" s="168"/>
      <c r="U84" s="169"/>
      <c r="V84" s="168"/>
      <c r="W84" s="169"/>
      <c r="X84" s="168"/>
      <c r="Y84" s="167"/>
      <c r="Z84" s="168"/>
      <c r="AA84" s="167"/>
      <c r="AB84" s="166"/>
      <c r="AC84" s="165"/>
      <c r="AD84" s="168"/>
      <c r="AE84" s="170"/>
      <c r="AF84" s="171"/>
      <c r="AG84" s="113"/>
      <c r="AH84" s="113"/>
      <c r="AI84" s="113"/>
      <c r="AJ84" s="113"/>
      <c r="AK84" s="113"/>
      <c r="AL84" s="113"/>
      <c r="AM84" s="113"/>
      <c r="AN84" s="113"/>
      <c r="AO84" s="113"/>
      <c r="AP84" s="113"/>
      <c r="AQ84" s="113"/>
      <c r="AR84" s="113"/>
      <c r="AS84" s="113"/>
      <c r="AT84" s="113"/>
      <c r="AU84" s="113"/>
      <c r="AV84" s="113"/>
      <c r="AW84" s="113"/>
      <c r="AY84" s="146"/>
      <c r="AZ84" s="146"/>
      <c r="BA84" s="146"/>
      <c r="BB84" s="146"/>
      <c r="BC84" s="49"/>
      <c r="BD84" s="225"/>
      <c r="BE84" s="49"/>
      <c r="BF84" s="224"/>
      <c r="BG84" s="49"/>
      <c r="BH84" s="49"/>
      <c r="BI84" s="49"/>
      <c r="BJ84" s="49"/>
      <c r="BK84" s="49"/>
      <c r="BL84" s="49"/>
      <c r="BM84" s="178"/>
      <c r="BO84" s="175" t="str">
        <f>IF(BO83="","",BN83)</f>
        <v/>
      </c>
      <c r="BP84" s="175" t="s">
        <v>362</v>
      </c>
      <c r="BQ84" s="197"/>
      <c r="BT84" s="175">
        <f>IF(BT83="","",BS83)</f>
        <v>41</v>
      </c>
      <c r="BU84" s="175">
        <v>41.0</v>
      </c>
      <c r="BV84" s="196"/>
      <c r="BW84" s="178"/>
      <c r="BY84" s="160" t="str">
        <f>IF(BY83="","",BX83)</f>
        <v> </v>
      </c>
      <c r="BZ84" s="160" t="str">
        <f t="shared" si="34"/>
        <v> </v>
      </c>
      <c r="CA84" s="200"/>
      <c r="CB84" s="74" t="str">
        <f t="shared" si="35"/>
        <v>св</v>
      </c>
      <c r="CC84" s="200"/>
      <c r="CD84" s="243"/>
      <c r="CG84" s="180" t="str">
        <f>IF(CG83="","",CF83)</f>
        <v> </v>
      </c>
      <c r="CH84" s="200" t="s">
        <v>361</v>
      </c>
      <c r="CI84" s="182"/>
      <c r="CJ84" s="49" t="s">
        <v>362</v>
      </c>
      <c r="CK84" s="235"/>
      <c r="CL84" s="180" t="str">
        <f>IF(CL83="","",CK83)</f>
        <v> </v>
      </c>
      <c r="CM84" s="49" t="s">
        <v>361</v>
      </c>
      <c r="CN84" s="49"/>
      <c r="CQ84" s="180" t="str">
        <f>IF(CQ83="","",CP83)</f>
        <v> </v>
      </c>
      <c r="CR84" s="49" t="s">
        <v>361</v>
      </c>
      <c r="CS84" s="234"/>
      <c r="CV84" s="180" t="str">
        <f>IF(CV83="","",CU83)</f>
        <v> </v>
      </c>
      <c r="CW84" s="49" t="s">
        <v>361</v>
      </c>
      <c r="CX84" s="49"/>
      <c r="CY84" s="49" t="s">
        <v>362</v>
      </c>
      <c r="CZ84" s="49"/>
      <c r="DA84" s="180" t="str">
        <f>IF(DA83="","",CZ83)</f>
        <v> </v>
      </c>
      <c r="DB84" s="49" t="s">
        <v>361</v>
      </c>
      <c r="DC84" s="49"/>
      <c r="DD84" s="49" t="s">
        <v>362</v>
      </c>
      <c r="DE84" s="49"/>
      <c r="DF84" s="49"/>
      <c r="DG84" s="49"/>
      <c r="DH84" s="49"/>
    </row>
    <row r="85" ht="13.5" customHeight="1">
      <c r="A85" s="54"/>
      <c r="B85" s="187">
        <v>40.0</v>
      </c>
      <c r="C85" s="188" t="str">
        <f>(VLOOKUP($B85,'Пр.взв'!$D$6:$J$63,2,0))</f>
        <v>ИБРАГИМОВ  Магомед</v>
      </c>
      <c r="D85" s="189" t="str">
        <f>(VLOOKUP($B85,'Пр.взв'!$D$6:$J$63,5,0))</f>
        <v>КМС</v>
      </c>
      <c r="E85" s="190" t="str">
        <f>(VLOOKUP($B85,'Пр.взв'!$D$6:$M$63,8,0))</f>
        <v>Р.Дагестан</v>
      </c>
      <c r="F85" s="130">
        <f>B87</f>
        <v>41</v>
      </c>
      <c r="G85" s="134"/>
      <c r="H85" s="132">
        <v>38.0</v>
      </c>
      <c r="I85" s="136"/>
      <c r="J85" s="133" t="str">
        <f>IF(H85="Х","Х",IF($AC85&lt;6," ","Х"))</f>
        <v> </v>
      </c>
      <c r="K85" s="134"/>
      <c r="L85" s="133" t="str">
        <f>IF(J85="Х","Х",IF(K85&lt;3," ",IF($AC85&lt;6," ","Х")))</f>
        <v> </v>
      </c>
      <c r="M85" s="134"/>
      <c r="N85" s="133" t="str">
        <f>IF(L85="Х","Х",IF(M85&lt;3," ",IF($AC85&lt;6," ","Х")))</f>
        <v> </v>
      </c>
      <c r="O85" s="134"/>
      <c r="P85" s="133" t="str">
        <f>IF(N85="Х","Х",IF(O85&lt;3," ",IF($AC85&lt;6," ","Х")))</f>
        <v> </v>
      </c>
      <c r="Q85" s="134"/>
      <c r="R85" s="133" t="str">
        <f>IF(P85="Х","Х",IF(Q85&lt;3," ",IF($AC85&lt;6," ","Х")))</f>
        <v> </v>
      </c>
      <c r="S85" s="134"/>
      <c r="T85" s="133" t="str">
        <f>IF(R85="Х","Х",IF(S85&lt;3," ",IF($AC85&lt;6," ","Х")))</f>
        <v> </v>
      </c>
      <c r="U85" s="135"/>
      <c r="V85" s="133" t="str">
        <f>IF(T85="Х","Х",IF(U85&lt;3," ",IF($AC85&lt;6," ","Х")))</f>
        <v> </v>
      </c>
      <c r="W85" s="135"/>
      <c r="X85" s="133" t="str">
        <f>IF(V85="А1",$AZ$7,IF(V85="Б2",$AZ$6,IF(V85="Б1",$BA$7,IF(V85="А2",$BA$6,IF(V85="Х","Х",IF(V85&lt;6," "," "))))))</f>
        <v> </v>
      </c>
      <c r="Y85" s="136"/>
      <c r="Z85" s="133" t="str">
        <f>IF(V85="Х","Х",IF(ISBLANK(Y85),"",IF(Y85&gt;2.5," ",IF(B85=BB$6,BB$7,BB$6))))</f>
        <v/>
      </c>
      <c r="AA85" s="136"/>
      <c r="AB85" s="240" t="str">
        <f>IF(H85="Х",F$5,IF(J85="Х",H$5,IF(L85="Х",J$5,IF(N85="Х",L$5,IF(P85="Х",N$5,IF(R85="Х",P$5,IF(T85="Х",R$5,IF(X85="Х",T$5,""))))))))</f>
        <v/>
      </c>
      <c r="AC85" s="138">
        <f>SUM(G85+I85+K85+M85+O85+Q85+S85+U85+Y85+AA85)</f>
        <v>0</v>
      </c>
      <c r="AD85" s="241" t="str">
        <f>AF85</f>
        <v>1-54</v>
      </c>
      <c r="AE85" s="140" t="str">
        <f>AD85</f>
        <v>1-54</v>
      </c>
      <c r="AF85" s="141" t="str">
        <f>COUNTIF(AG$6:AG$148,"&gt;"&amp;AG$6:AG$148)+1&amp;REPT("-"&amp;COUNTIF(AG$6:AG$148,"&gt;="&amp;AG$6:AG$148),COUNTIF(AG$6:AG$148,AG85)&gt;1)</f>
        <v>1-54</v>
      </c>
      <c r="AG85" s="142">
        <f>(AR85*100)+(AP85*10)-AC85</f>
        <v>1280</v>
      </c>
      <c r="AH85" s="143" t="str">
        <f>IF(OR(F85="Х",F85="св")," ",IF(AND(G85&gt;=0,G85&lt;3),"1"," "))</f>
        <v>1</v>
      </c>
      <c r="AI85" s="90" t="str">
        <f>IF(OR(H85="Х",H85="св")," ",IF(AND(I85&gt;=0,I85&lt;3),"1"," "))</f>
        <v>1</v>
      </c>
      <c r="AJ85" s="90" t="str">
        <f>IF(OR(J85="Х",J85="св")," ",IF(AND(K85&gt;=0,K85&lt;3),"1"," "))</f>
        <v>1</v>
      </c>
      <c r="AK85" s="90" t="str">
        <f>IF(OR(L85="Х",L85="св")," ",IF(AND(M85&gt;=0,M85&lt;3),"1"," "))</f>
        <v>1</v>
      </c>
      <c r="AL85" s="90" t="str">
        <f>IF(OR(N85="Х",N85="св")," ",IF(AND(O85&gt;=0,O85&lt;3),"1"," "))</f>
        <v>1</v>
      </c>
      <c r="AM85" s="90" t="str">
        <f>IF(OR(P85="Х",P85="св")," ",IF(AND(Q85&gt;=0,Q85&lt;3),"1"," "))</f>
        <v>1</v>
      </c>
      <c r="AN85" s="90" t="str">
        <f>IF(OR(R85="Х",R85="св")," ",IF(AND(S85&gt;=0,S85&lt;3),"1"," "))</f>
        <v>1</v>
      </c>
      <c r="AO85" s="90" t="str">
        <f>IF(OR(T85="Х",T85="св")," ",IF(AND(U85&gt;=0,U85&lt;3),"1"," "))</f>
        <v>1</v>
      </c>
      <c r="AP85" s="90">
        <f>COUNTIF(AH85:AO86,1)</f>
        <v>8</v>
      </c>
      <c r="AQ85" s="90">
        <f>AG85-AC85</f>
        <v>1280</v>
      </c>
      <c r="AR85" s="144">
        <f>IF(F85=0,0,IF(F85="Х",1,IF(H85="Х",2,IF(J85="Х",3,IF(L85="Х",4,IF(N85="Х",5,IF(P85="Х",6,IF(R85="Х",7,IF(T85="Х",8,IF(V85="Х",9,IF(Y85&gt;2.5,10,IF(AA85&gt;2.5,11,IF(AA85&gt;=0,12,IF(AA85=" ",0,))))))))))))))</f>
        <v>12</v>
      </c>
      <c r="AS85" s="90" t="str">
        <f>COUNTIF(AG$6:AG$134,"&gt;"&amp;AG$6:AG$134)+1&amp;REPT("-"&amp;COUNTIF(AG$6:AG$134,"&gt;="&amp;AG$6:AG$134),COUNTIF(AG$6:AG$134,AG85)&gt;1)</f>
        <v>1-54</v>
      </c>
      <c r="AT85" s="143" t="str">
        <f t="shared" ref="AT85:AW85" si="45">COUNTIF(AU$6:AU$134,"&gt;"&amp;AU$6:AU$134)+1&amp;REPT("-"&amp;COUNTIF(AU$6:AU$134,"&gt;="&amp;AU$6:AU$134),COUNTIF(AU$6:AU$134,AU85)&gt;1)</f>
        <v>1-64</v>
      </c>
      <c r="AU85" s="143" t="str">
        <f t="shared" si="45"/>
        <v>1-0</v>
      </c>
      <c r="AV85" s="143" t="str">
        <f t="shared" si="45"/>
        <v>1</v>
      </c>
      <c r="AW85" s="143" t="str">
        <f t="shared" si="45"/>
        <v>25</v>
      </c>
      <c r="AX85" s="145">
        <f>IF(X85="Х","Х",IF(Y85&lt;3,B85,"Х"))</f>
        <v>40</v>
      </c>
      <c r="AY85" s="146"/>
      <c r="AZ85" s="146"/>
      <c r="BA85" s="146"/>
      <c r="BB85" s="146"/>
      <c r="BC85" s="49"/>
      <c r="BD85" s="225"/>
      <c r="BE85" s="49"/>
      <c r="BF85" s="224"/>
      <c r="BG85" s="49"/>
      <c r="BH85" s="49"/>
      <c r="BI85" s="49"/>
      <c r="BJ85" s="49"/>
      <c r="BK85" s="49"/>
      <c r="BL85" s="49"/>
      <c r="BM85" s="195">
        <v>40.0</v>
      </c>
      <c r="BN85" s="196">
        <v>41.0</v>
      </c>
      <c r="BO85" s="153">
        <f>IF(BM85&lt;BN85,BM85,"")</f>
        <v>40</v>
      </c>
      <c r="BP85" s="196">
        <v>40.0</v>
      </c>
      <c r="BQ85" s="197"/>
      <c r="BR85" s="198">
        <v>40.0</v>
      </c>
      <c r="BS85" s="196">
        <v>38.0</v>
      </c>
      <c r="BT85" s="175" t="str">
        <f>IF(BR85&lt;BS85,BR85,"")</f>
        <v/>
      </c>
      <c r="BU85" s="196" t="s">
        <v>362</v>
      </c>
      <c r="BV85" s="196"/>
      <c r="BW85" s="199">
        <v>40.0</v>
      </c>
      <c r="BX85" s="74" t="s">
        <v>361</v>
      </c>
      <c r="BY85" s="160">
        <f t="array" ref="BY85">IF(BW85&lt;BX85,BW85,"")</f>
        <v>40</v>
      </c>
      <c r="BZ85" s="160">
        <f t="shared" si="34"/>
        <v>40</v>
      </c>
      <c r="CA85" s="74"/>
      <c r="CB85" s="74" t="str">
        <f t="shared" si="35"/>
        <v>св</v>
      </c>
      <c r="CC85" s="200"/>
      <c r="CD85" s="243"/>
      <c r="CE85" s="200">
        <v>40.0</v>
      </c>
      <c r="CF85" s="25" t="s">
        <v>361</v>
      </c>
      <c r="CG85" s="153">
        <f t="array" ref="CG85">IF(CE85&lt;CF85,CE85,"")</f>
        <v>40</v>
      </c>
      <c r="CH85" s="74">
        <v>40.0</v>
      </c>
      <c r="CI85" s="182"/>
      <c r="CJ85" s="93">
        <v>40.0</v>
      </c>
      <c r="CK85" s="233" t="s">
        <v>361</v>
      </c>
      <c r="CL85" s="153">
        <f t="array" ref="CL85">IF(CJ85&lt;CK85,CJ85,"")</f>
        <v>40</v>
      </c>
      <c r="CM85" s="49">
        <v>40.0</v>
      </c>
      <c r="CN85" s="49"/>
      <c r="CO85" s="74">
        <v>40.0</v>
      </c>
      <c r="CP85" s="200" t="s">
        <v>361</v>
      </c>
      <c r="CQ85" s="153">
        <f t="array" ref="CQ85">IF(CO85&lt;CP85,CO85,"")</f>
        <v>40</v>
      </c>
      <c r="CR85" s="93">
        <v>40.0</v>
      </c>
      <c r="CS85" s="234"/>
      <c r="CT85" s="200">
        <v>40.0</v>
      </c>
      <c r="CU85" s="74" t="s">
        <v>361</v>
      </c>
      <c r="CV85" s="153">
        <f t="array" ref="CV85">IF(CT85&lt;CU85,CT85,"")</f>
        <v>40</v>
      </c>
      <c r="CW85" s="49">
        <v>40.0</v>
      </c>
      <c r="CX85" s="49"/>
      <c r="CY85" s="49">
        <v>40.0</v>
      </c>
      <c r="CZ85" s="49" t="s">
        <v>361</v>
      </c>
      <c r="DA85" s="153">
        <f t="array" ref="DA85">IF(CY85&lt;CZ85,CY85,"")</f>
        <v>40</v>
      </c>
      <c r="DB85" s="49">
        <v>40.0</v>
      </c>
      <c r="DC85" s="49"/>
      <c r="DD85" s="49">
        <v>40.0</v>
      </c>
      <c r="DE85" s="49"/>
      <c r="DF85" s="49"/>
      <c r="DG85" s="49"/>
      <c r="DH85" s="49"/>
    </row>
    <row r="86" ht="13.5" customHeight="1">
      <c r="A86" s="54"/>
      <c r="B86" s="165"/>
      <c r="C86" s="165"/>
      <c r="D86" s="165"/>
      <c r="E86" s="165"/>
      <c r="F86" s="166"/>
      <c r="G86" s="167"/>
      <c r="H86" s="168"/>
      <c r="I86" s="256"/>
      <c r="J86" s="168"/>
      <c r="K86" s="167"/>
      <c r="L86" s="168"/>
      <c r="M86" s="167"/>
      <c r="N86" s="168"/>
      <c r="O86" s="167"/>
      <c r="P86" s="168"/>
      <c r="Q86" s="167"/>
      <c r="R86" s="168"/>
      <c r="S86" s="167"/>
      <c r="T86" s="168"/>
      <c r="U86" s="169"/>
      <c r="V86" s="168"/>
      <c r="W86" s="169"/>
      <c r="X86" s="168"/>
      <c r="Y86" s="167"/>
      <c r="Z86" s="168"/>
      <c r="AA86" s="167"/>
      <c r="AB86" s="166"/>
      <c r="AC86" s="165"/>
      <c r="AD86" s="168"/>
      <c r="AE86" s="170"/>
      <c r="AF86" s="171"/>
      <c r="AG86" s="113"/>
      <c r="AH86" s="113"/>
      <c r="AI86" s="113"/>
      <c r="AJ86" s="113"/>
      <c r="AK86" s="113"/>
      <c r="AL86" s="113"/>
      <c r="AM86" s="113"/>
      <c r="AN86" s="113"/>
      <c r="AO86" s="113"/>
      <c r="AP86" s="113"/>
      <c r="AQ86" s="113"/>
      <c r="AR86" s="113"/>
      <c r="AS86" s="113"/>
      <c r="AT86" s="113"/>
      <c r="AU86" s="113"/>
      <c r="AV86" s="113"/>
      <c r="AW86" s="113"/>
      <c r="AY86" s="146"/>
      <c r="AZ86" s="146"/>
      <c r="BA86" s="146"/>
      <c r="BB86" s="146"/>
      <c r="BC86" s="49"/>
      <c r="BD86" s="225"/>
      <c r="BE86" s="49"/>
      <c r="BF86" s="224"/>
      <c r="BG86" s="49"/>
      <c r="BH86" s="49"/>
      <c r="BI86" s="49"/>
      <c r="BJ86" s="49"/>
      <c r="BK86" s="49"/>
      <c r="BL86" s="49"/>
      <c r="BM86" s="178"/>
      <c r="BO86" s="175">
        <f>IF(BO85="","",BN85)</f>
        <v>41</v>
      </c>
      <c r="BP86" s="175">
        <v>41.0</v>
      </c>
      <c r="BQ86" s="197"/>
      <c r="BT86" s="175" t="str">
        <f>IF(BT85="","",BS85)</f>
        <v/>
      </c>
      <c r="BU86" s="175" t="s">
        <v>362</v>
      </c>
      <c r="BV86" s="196"/>
      <c r="BW86" s="178"/>
      <c r="BY86" s="160" t="str">
        <f>IF(BY85="","",BX85)</f>
        <v> </v>
      </c>
      <c r="BZ86" s="160" t="str">
        <f t="shared" si="34"/>
        <v> </v>
      </c>
      <c r="CA86" s="200"/>
      <c r="CB86" s="74" t="str">
        <f t="shared" si="35"/>
        <v>св</v>
      </c>
      <c r="CC86" s="200"/>
      <c r="CD86" s="243"/>
      <c r="CG86" s="180" t="str">
        <f>IF(CG85="","",CF85)</f>
        <v> </v>
      </c>
      <c r="CH86" s="200" t="s">
        <v>361</v>
      </c>
      <c r="CI86" s="182"/>
      <c r="CJ86" s="49" t="s">
        <v>362</v>
      </c>
      <c r="CK86" s="235"/>
      <c r="CL86" s="180" t="str">
        <f>IF(CL85="","",CK85)</f>
        <v> </v>
      </c>
      <c r="CM86" s="49" t="s">
        <v>361</v>
      </c>
      <c r="CN86" s="49"/>
      <c r="CQ86" s="180" t="str">
        <f>IF(CQ85="","",CP85)</f>
        <v> </v>
      </c>
      <c r="CR86" s="49" t="s">
        <v>361</v>
      </c>
      <c r="CS86" s="234"/>
      <c r="CV86" s="180" t="str">
        <f>IF(CV85="","",CU85)</f>
        <v> </v>
      </c>
      <c r="CW86" s="49" t="s">
        <v>361</v>
      </c>
      <c r="CX86" s="49"/>
      <c r="CY86" s="49" t="s">
        <v>362</v>
      </c>
      <c r="CZ86" s="49"/>
      <c r="DA86" s="180" t="str">
        <f>IF(DA85="","",CZ85)</f>
        <v> </v>
      </c>
      <c r="DB86" s="49" t="s">
        <v>361</v>
      </c>
      <c r="DC86" s="49"/>
      <c r="DD86" s="49" t="s">
        <v>362</v>
      </c>
      <c r="DE86" s="49"/>
      <c r="DF86" s="49"/>
      <c r="DG86" s="49"/>
      <c r="DH86" s="49"/>
    </row>
    <row r="87" ht="13.5" customHeight="1">
      <c r="A87" s="54"/>
      <c r="B87" s="187">
        <v>41.0</v>
      </c>
      <c r="C87" s="188" t="str">
        <f>(VLOOKUP($B87,'Пр.взв'!$D$6:$J$63,2,0))</f>
        <v>КРЕЧЕТОВ  Никита</v>
      </c>
      <c r="D87" s="189" t="str">
        <f>(VLOOKUP($B87,'Пр.взв'!$D$6:$J$63,5,0))</f>
        <v>КМС</v>
      </c>
      <c r="E87" s="190" t="str">
        <f>(VLOOKUP($B87,'Пр.взв'!$D$6:$M$63,8,0))</f>
        <v>Самарская</v>
      </c>
      <c r="F87" s="130">
        <f>B85</f>
        <v>40</v>
      </c>
      <c r="G87" s="255"/>
      <c r="H87" s="132">
        <v>39.0</v>
      </c>
      <c r="I87" s="255"/>
      <c r="J87" s="133" t="str">
        <f>IF(H87="Х","Х",IF($AC87&lt;6," ","Х"))</f>
        <v> </v>
      </c>
      <c r="K87" s="134"/>
      <c r="L87" s="133" t="str">
        <f>IF(J87="Х","Х",IF(K87&lt;3," ",IF($AC87&lt;6," ","Х")))</f>
        <v> </v>
      </c>
      <c r="M87" s="134"/>
      <c r="N87" s="133" t="str">
        <f>IF(L87="Х","Х",IF(M87&lt;3," ",IF($AC87&lt;6," ","Х")))</f>
        <v> </v>
      </c>
      <c r="O87" s="134"/>
      <c r="P87" s="133" t="str">
        <f>IF(N87="Х","Х",IF(O87&lt;3," ",IF($AC87&lt;6," ","Х")))</f>
        <v> </v>
      </c>
      <c r="Q87" s="134"/>
      <c r="R87" s="133" t="str">
        <f>IF(P87="Х","Х",IF(Q87&lt;3," ",IF($AC87&lt;6," ","Х")))</f>
        <v> </v>
      </c>
      <c r="S87" s="134"/>
      <c r="T87" s="133" t="str">
        <f>IF(R87="Х","Х",IF(S87&lt;3," ",IF($AC87&lt;6," ","Х")))</f>
        <v> </v>
      </c>
      <c r="U87" s="135"/>
      <c r="V87" s="133" t="str">
        <f>IF(T87="Х","Х",IF(U87&lt;3," ",IF($AC87&lt;6," ","Х")))</f>
        <v> </v>
      </c>
      <c r="W87" s="135"/>
      <c r="X87" s="133" t="str">
        <f>IF(V87="А1",$AZ$7,IF(V87="Б2",$AZ$6,IF(V87="Б1",$BA$7,IF(V87="А2",$BA$6,IF(V87="Х","Х",IF(V87&lt;6," "," "))))))</f>
        <v> </v>
      </c>
      <c r="Y87" s="136"/>
      <c r="Z87" s="133" t="str">
        <f>IF(V87="Х","Х",IF(ISBLANK(Y87),"",IF(Y87&gt;2.5," ",IF(B87=BB$6,BB$7,BB$6))))</f>
        <v/>
      </c>
      <c r="AA87" s="136"/>
      <c r="AB87" s="240" t="str">
        <f>IF(H87="Х",F$5,IF(J87="Х",H$5,IF(L87="Х",J$5,IF(N87="Х",L$5,IF(P87="Х",N$5,IF(R87="Х",P$5,IF(T87="Х",R$5,IF(X87="Х",T$5,""))))))))</f>
        <v/>
      </c>
      <c r="AC87" s="138">
        <f>SUM(G87+I87+K87+M87+O87+Q87+S87+U87+Y87+AA87)</f>
        <v>0</v>
      </c>
      <c r="AD87" s="241" t="str">
        <f>AF87</f>
        <v>1-54</v>
      </c>
      <c r="AE87" s="140" t="str">
        <f>AD87</f>
        <v>1-54</v>
      </c>
      <c r="AF87" s="141" t="str">
        <f>COUNTIF(AG$6:AG$148,"&gt;"&amp;AG$6:AG$148)+1&amp;REPT("-"&amp;COUNTIF(AG$6:AG$148,"&gt;="&amp;AG$6:AG$148),COUNTIF(AG$6:AG$148,AG87)&gt;1)</f>
        <v>1-54</v>
      </c>
      <c r="AG87" s="142">
        <f>(AR87*100)+(AP87*10)-AC87</f>
        <v>1280</v>
      </c>
      <c r="AH87" s="143" t="str">
        <f>IF(OR(F87="Х",F87="св")," ",IF(AND(G87&gt;=0,G87&lt;3),"1"," "))</f>
        <v>1</v>
      </c>
      <c r="AI87" s="90" t="str">
        <f>IF(OR(H87="Х",H87="св")," ",IF(AND(I87&gt;=0,I87&lt;3),"1"," "))</f>
        <v>1</v>
      </c>
      <c r="AJ87" s="90" t="str">
        <f>IF(OR(J87="Х",J87="св")," ",IF(AND(K87&gt;=0,K87&lt;3),"1"," "))</f>
        <v>1</v>
      </c>
      <c r="AK87" s="90" t="str">
        <f>IF(OR(L87="Х",L87="св")," ",IF(AND(M87&gt;=0,M87&lt;3),"1"," "))</f>
        <v>1</v>
      </c>
      <c r="AL87" s="90" t="str">
        <f>IF(OR(N87="Х",N87="св")," ",IF(AND(O87&gt;=0,O87&lt;3),"1"," "))</f>
        <v>1</v>
      </c>
      <c r="AM87" s="90" t="str">
        <f>IF(OR(P87="Х",P87="св")," ",IF(AND(Q87&gt;=0,Q87&lt;3),"1"," "))</f>
        <v>1</v>
      </c>
      <c r="AN87" s="90" t="str">
        <f>IF(OR(R87="Х",R87="св")," ",IF(AND(S87&gt;=0,S87&lt;3),"1"," "))</f>
        <v>1</v>
      </c>
      <c r="AO87" s="90" t="str">
        <f>IF(OR(T87="Х",T87="св")," ",IF(AND(U87&gt;=0,U87&lt;3),"1"," "))</f>
        <v>1</v>
      </c>
      <c r="AP87" s="90">
        <f>COUNTIF(AH87:AO88,1)</f>
        <v>8</v>
      </c>
      <c r="AQ87" s="90">
        <f>AG87-AC87</f>
        <v>1280</v>
      </c>
      <c r="AR87" s="144">
        <f>IF(F87=0,0,IF(F87="Х",1,IF(H87="Х",2,IF(J87="Х",3,IF(L87="Х",4,IF(N87="Х",5,IF(P87="Х",6,IF(R87="Х",7,IF(T87="Х",8,IF(V87="Х",9,IF(Y87&gt;2.5,10,IF(AA87&gt;2.5,11,IF(AA87&gt;=0,12,IF(AA87=" ",0,))))))))))))))</f>
        <v>12</v>
      </c>
      <c r="AS87" s="90" t="str">
        <f>COUNTIF(AG$6:AG$134,"&gt;"&amp;AG$6:AG$134)+1&amp;REPT("-"&amp;COUNTIF(AG$6:AG$134,"&gt;="&amp;AG$6:AG$134),COUNTIF(AG$6:AG$134,AG87)&gt;1)</f>
        <v>1-54</v>
      </c>
      <c r="AT87" s="143" t="str">
        <f t="shared" ref="AT87:AW87" si="46">COUNTIF(AU$6:AU$134,"&gt;"&amp;AU$6:AU$134)+1&amp;REPT("-"&amp;COUNTIF(AU$6:AU$134,"&gt;="&amp;AU$6:AU$134),COUNTIF(AU$6:AU$134,AU87)&gt;1)</f>
        <v>1-64</v>
      </c>
      <c r="AU87" s="143" t="str">
        <f t="shared" si="46"/>
        <v>1-0</v>
      </c>
      <c r="AV87" s="143" t="str">
        <f t="shared" si="46"/>
        <v>1</v>
      </c>
      <c r="AW87" s="143" t="str">
        <f t="shared" si="46"/>
        <v>24</v>
      </c>
      <c r="AX87" s="145">
        <f>IF(X87="Х","Х",IF(Y87&lt;3,B87,"Х"))</f>
        <v>41</v>
      </c>
      <c r="AY87" s="146"/>
      <c r="AZ87" s="146"/>
      <c r="BA87" s="146"/>
      <c r="BB87" s="146"/>
      <c r="BC87" s="49"/>
      <c r="BD87" s="225"/>
      <c r="BE87" s="49"/>
      <c r="BF87" s="224"/>
      <c r="BG87" s="49"/>
      <c r="BH87" s="49"/>
      <c r="BI87" s="49"/>
      <c r="BJ87" s="49"/>
      <c r="BK87" s="49"/>
      <c r="BL87" s="49"/>
      <c r="BM87" s="195">
        <v>41.0</v>
      </c>
      <c r="BN87" s="196">
        <v>40.0</v>
      </c>
      <c r="BO87" s="153" t="str">
        <f>IF(BM87&lt;BN87,BM87,"")</f>
        <v/>
      </c>
      <c r="BP87" s="196" t="s">
        <v>362</v>
      </c>
      <c r="BQ87" s="197"/>
      <c r="BR87" s="198">
        <v>41.0</v>
      </c>
      <c r="BS87" s="196">
        <v>39.0</v>
      </c>
      <c r="BT87" s="175" t="str">
        <f>IF(BR87&lt;BS87,BR87,"")</f>
        <v/>
      </c>
      <c r="BU87" s="196" t="s">
        <v>362</v>
      </c>
      <c r="BV87" s="196"/>
      <c r="BW87" s="199">
        <v>41.0</v>
      </c>
      <c r="BX87" s="74" t="s">
        <v>361</v>
      </c>
      <c r="BY87" s="160">
        <f t="array" ref="BY87">IF(BW87&lt;BX87,BW87,"")</f>
        <v>41</v>
      </c>
      <c r="BZ87" s="160">
        <f t="shared" si="34"/>
        <v>41</v>
      </c>
      <c r="CA87" s="74"/>
      <c r="CB87" s="74" t="str">
        <f t="shared" si="35"/>
        <v>св</v>
      </c>
      <c r="CC87" s="200"/>
      <c r="CD87" s="243"/>
      <c r="CE87" s="200">
        <v>41.0</v>
      </c>
      <c r="CF87" s="25" t="s">
        <v>361</v>
      </c>
      <c r="CG87" s="153">
        <f t="array" ref="CG87">IF(CE87&lt;CF87,CE87,"")</f>
        <v>41</v>
      </c>
      <c r="CH87" s="74">
        <v>41.0</v>
      </c>
      <c r="CI87" s="182"/>
      <c r="CJ87" s="93">
        <v>41.0</v>
      </c>
      <c r="CK87" s="233" t="s">
        <v>361</v>
      </c>
      <c r="CL87" s="153">
        <f t="array" ref="CL87">IF(CJ87&lt;CK87,CJ87,"")</f>
        <v>41</v>
      </c>
      <c r="CM87" s="49">
        <v>41.0</v>
      </c>
      <c r="CN87" s="49"/>
      <c r="CO87" s="74">
        <v>41.0</v>
      </c>
      <c r="CP87" s="200" t="s">
        <v>361</v>
      </c>
      <c r="CQ87" s="153">
        <f t="array" ref="CQ87">IF(CO87&lt;CP87,CO87,"")</f>
        <v>41</v>
      </c>
      <c r="CR87" s="93">
        <v>41.0</v>
      </c>
      <c r="CS87" s="234"/>
      <c r="CT87" s="200">
        <v>41.0</v>
      </c>
      <c r="CU87" s="74" t="s">
        <v>361</v>
      </c>
      <c r="CV87" s="153">
        <f t="array" ref="CV87">IF(CT87&lt;CU87,CT87,"")</f>
        <v>41</v>
      </c>
      <c r="CW87" s="49">
        <v>41.0</v>
      </c>
      <c r="CX87" s="49"/>
      <c r="CY87" s="49">
        <v>41.0</v>
      </c>
      <c r="CZ87" s="49" t="s">
        <v>361</v>
      </c>
      <c r="DA87" s="153">
        <f t="array" ref="DA87">IF(CY87&lt;CZ87,CY87,"")</f>
        <v>41</v>
      </c>
      <c r="DB87" s="49">
        <v>41.0</v>
      </c>
      <c r="DC87" s="49"/>
      <c r="DD87" s="49">
        <v>41.0</v>
      </c>
      <c r="DE87" s="49"/>
      <c r="DF87" s="49"/>
      <c r="DG87" s="49"/>
      <c r="DH87" s="49"/>
    </row>
    <row r="88" ht="13.5" customHeight="1">
      <c r="A88" s="54"/>
      <c r="B88" s="165"/>
      <c r="C88" s="165"/>
      <c r="D88" s="165"/>
      <c r="E88" s="165"/>
      <c r="F88" s="166"/>
      <c r="G88" s="167"/>
      <c r="H88" s="168"/>
      <c r="I88" s="167"/>
      <c r="J88" s="168"/>
      <c r="K88" s="167"/>
      <c r="L88" s="168"/>
      <c r="M88" s="167"/>
      <c r="N88" s="168"/>
      <c r="O88" s="167"/>
      <c r="P88" s="168"/>
      <c r="Q88" s="167"/>
      <c r="R88" s="168"/>
      <c r="S88" s="167"/>
      <c r="T88" s="168"/>
      <c r="U88" s="169"/>
      <c r="V88" s="168"/>
      <c r="W88" s="169"/>
      <c r="X88" s="168"/>
      <c r="Y88" s="167"/>
      <c r="Z88" s="168"/>
      <c r="AA88" s="167"/>
      <c r="AB88" s="166"/>
      <c r="AC88" s="165"/>
      <c r="AD88" s="168"/>
      <c r="AE88" s="170"/>
      <c r="AF88" s="171"/>
      <c r="AG88" s="113"/>
      <c r="AH88" s="113"/>
      <c r="AI88" s="113"/>
      <c r="AJ88" s="113"/>
      <c r="AK88" s="113"/>
      <c r="AL88" s="113"/>
      <c r="AM88" s="113"/>
      <c r="AN88" s="113"/>
      <c r="AO88" s="113"/>
      <c r="AP88" s="113"/>
      <c r="AQ88" s="113"/>
      <c r="AR88" s="113"/>
      <c r="AS88" s="113"/>
      <c r="AT88" s="113"/>
      <c r="AU88" s="113"/>
      <c r="AV88" s="113"/>
      <c r="AW88" s="113"/>
      <c r="AY88" s="146"/>
      <c r="AZ88" s="146"/>
      <c r="BA88" s="146"/>
      <c r="BB88" s="146"/>
      <c r="BC88" s="49"/>
      <c r="BD88" s="225"/>
      <c r="BE88" s="49"/>
      <c r="BF88" s="224"/>
      <c r="BG88" s="49"/>
      <c r="BH88" s="49"/>
      <c r="BI88" s="49"/>
      <c r="BJ88" s="49"/>
      <c r="BK88" s="49"/>
      <c r="BL88" s="49"/>
      <c r="BM88" s="178"/>
      <c r="BO88" s="175" t="str">
        <f>IF(BO87="","",BN87)</f>
        <v/>
      </c>
      <c r="BP88" s="175" t="s">
        <v>362</v>
      </c>
      <c r="BQ88" s="197"/>
      <c r="BT88" s="175" t="str">
        <f>IF(BT87="","",BS87)</f>
        <v/>
      </c>
      <c r="BU88" s="175" t="s">
        <v>362</v>
      </c>
      <c r="BV88" s="196"/>
      <c r="BW88" s="178"/>
      <c r="BY88" s="160" t="str">
        <f>IF(BY87="","",BX87)</f>
        <v> </v>
      </c>
      <c r="BZ88" s="160" t="str">
        <f t="shared" si="34"/>
        <v> </v>
      </c>
      <c r="CA88" s="200"/>
      <c r="CB88" s="74" t="str">
        <f t="shared" si="35"/>
        <v>св</v>
      </c>
      <c r="CC88" s="200"/>
      <c r="CD88" s="243"/>
      <c r="CG88" s="180" t="str">
        <f>IF(CG87="","",CF87)</f>
        <v> </v>
      </c>
      <c r="CH88" s="200" t="s">
        <v>361</v>
      </c>
      <c r="CI88" s="182"/>
      <c r="CJ88" s="49" t="s">
        <v>362</v>
      </c>
      <c r="CK88" s="235"/>
      <c r="CL88" s="180" t="str">
        <f>IF(CL87="","",CK87)</f>
        <v> </v>
      </c>
      <c r="CM88" s="49" t="s">
        <v>361</v>
      </c>
      <c r="CN88" s="49"/>
      <c r="CQ88" s="180" t="str">
        <f>IF(CQ87="","",CP87)</f>
        <v> </v>
      </c>
      <c r="CR88" s="49" t="s">
        <v>361</v>
      </c>
      <c r="CS88" s="234"/>
      <c r="CV88" s="180" t="str">
        <f>IF(CV87="","",CU87)</f>
        <v> </v>
      </c>
      <c r="CW88" s="49" t="s">
        <v>361</v>
      </c>
      <c r="CX88" s="49"/>
      <c r="CY88" s="49" t="s">
        <v>362</v>
      </c>
      <c r="CZ88" s="49"/>
      <c r="DA88" s="180" t="str">
        <f>IF(DA87="","",CZ87)</f>
        <v> </v>
      </c>
      <c r="DB88" s="49" t="s">
        <v>361</v>
      </c>
      <c r="DC88" s="49"/>
      <c r="DD88" s="49" t="s">
        <v>362</v>
      </c>
      <c r="DE88" s="49"/>
      <c r="DF88" s="49"/>
      <c r="DG88" s="49"/>
      <c r="DH88" s="49"/>
    </row>
    <row r="89" ht="13.5" customHeight="1">
      <c r="A89" s="54"/>
      <c r="B89" s="187">
        <v>42.0</v>
      </c>
      <c r="C89" s="188" t="str">
        <f>(VLOOKUP($B89,'Пр.взв'!$D$6:$J$63,2,0))</f>
        <v>КОЗЫРЬ Ростислав</v>
      </c>
      <c r="D89" s="189" t="str">
        <f>(VLOOKUP($B89,'Пр.взв'!$D$6:$J$63,5,0))</f>
        <v>КМС</v>
      </c>
      <c r="E89" s="190" t="str">
        <f>(VLOOKUP($B89,'Пр.взв'!$D$6:$M$63,8,0))</f>
        <v>Р.Крым</v>
      </c>
      <c r="F89" s="130">
        <f>B91</f>
        <v>43</v>
      </c>
      <c r="G89" s="134"/>
      <c r="H89" s="132">
        <v>44.0</v>
      </c>
      <c r="I89" s="136"/>
      <c r="J89" s="133" t="str">
        <f>IF(H89="Х","Х",IF($AC89&lt;6," ","Х"))</f>
        <v> </v>
      </c>
      <c r="K89" s="134"/>
      <c r="L89" s="133" t="str">
        <f>IF(J89="Х","Х",IF(K89&lt;3," ",IF($AC89&lt;6," ","Х")))</f>
        <v> </v>
      </c>
      <c r="M89" s="134"/>
      <c r="N89" s="133" t="str">
        <f>IF(L89="Х","Х",IF(M89&lt;3," ",IF($AC89&lt;6," ","Х")))</f>
        <v> </v>
      </c>
      <c r="O89" s="134"/>
      <c r="P89" s="133" t="str">
        <f>IF(N89="Х","Х",IF(O89&lt;3," ",IF($AC89&lt;6," ","Х")))</f>
        <v> </v>
      </c>
      <c r="Q89" s="134"/>
      <c r="R89" s="133" t="str">
        <f>IF(P89="Х","Х",IF(Q89&lt;3," ",IF($AC89&lt;6," ","Х")))</f>
        <v> </v>
      </c>
      <c r="S89" s="134"/>
      <c r="T89" s="133" t="str">
        <f>IF(R89="Х","Х",IF(S89&lt;3," ",IF($AC89&lt;6," ","Х")))</f>
        <v> </v>
      </c>
      <c r="U89" s="135"/>
      <c r="V89" s="133" t="str">
        <f>IF(T89="Х","Х",IF(U89&lt;3," ",IF($AC89&lt;6," ","Х")))</f>
        <v> </v>
      </c>
      <c r="W89" s="135"/>
      <c r="X89" s="133" t="str">
        <f>IF(V89="А1",$AZ$7,IF(V89="Б2",$AZ$6,IF(V89="Б1",$BA$7,IF(V89="А2",$BA$6,IF(V89="Х","Х",IF(V89&lt;6," "," "))))))</f>
        <v> </v>
      </c>
      <c r="Y89" s="136"/>
      <c r="Z89" s="133" t="str">
        <f>IF(V89="Х","Х",IF(ISBLANK(Y89),"",IF(Y89&gt;2.5," ",IF(B89=BB$6,BB$7,BB$6))))</f>
        <v/>
      </c>
      <c r="AA89" s="136"/>
      <c r="AB89" s="240" t="str">
        <f>IF(H89="Х",F$5,IF(J89="Х",H$5,IF(L89="Х",J$5,IF(N89="Х",L$5,IF(P89="Х",N$5,IF(R89="Х",P$5,IF(T89="Х",R$5,IF(X89="Х",T$5,""))))))))</f>
        <v/>
      </c>
      <c r="AC89" s="138">
        <f>SUM(G89+I89+K89+M89+O89+Q89+S89+U89+Y89+AA89)</f>
        <v>0</v>
      </c>
      <c r="AD89" s="241" t="str">
        <f>AF89</f>
        <v>1-54</v>
      </c>
      <c r="AE89" s="140" t="str">
        <f>AD89</f>
        <v>1-54</v>
      </c>
      <c r="AF89" s="141" t="str">
        <f>COUNTIF(AG$6:AG$148,"&gt;"&amp;AG$6:AG$148)+1&amp;REPT("-"&amp;COUNTIF(AG$6:AG$148,"&gt;="&amp;AG$6:AG$148),COUNTIF(AG$6:AG$148,AG89)&gt;1)</f>
        <v>1-54</v>
      </c>
      <c r="AG89" s="142">
        <f>(AR89*100)+(AP89*10)-AC89</f>
        <v>1280</v>
      </c>
      <c r="AH89" s="143" t="str">
        <f>IF(OR(F89="Х",F89="св")," ",IF(AND(G89&gt;=0,G89&lt;3),"1"," "))</f>
        <v>1</v>
      </c>
      <c r="AI89" s="90" t="str">
        <f>IF(OR(H89="Х",H89="св")," ",IF(AND(I89&gt;=0,I89&lt;3),"1"," "))</f>
        <v>1</v>
      </c>
      <c r="AJ89" s="90" t="str">
        <f>IF(OR(J89="Х",J89="св")," ",IF(AND(K89&gt;=0,K89&lt;3),"1"," "))</f>
        <v>1</v>
      </c>
      <c r="AK89" s="90" t="str">
        <f>IF(OR(L89="Х",L89="св")," ",IF(AND(M89&gt;=0,M89&lt;3),"1"," "))</f>
        <v>1</v>
      </c>
      <c r="AL89" s="90" t="str">
        <f>IF(OR(N89="Х",N89="св")," ",IF(AND(O89&gt;=0,O89&lt;3),"1"," "))</f>
        <v>1</v>
      </c>
      <c r="AM89" s="90" t="str">
        <f>IF(OR(P89="Х",P89="св")," ",IF(AND(Q89&gt;=0,Q89&lt;3),"1"," "))</f>
        <v>1</v>
      </c>
      <c r="AN89" s="90" t="str">
        <f>IF(OR(R89="Х",R89="св")," ",IF(AND(S89&gt;=0,S89&lt;3),"1"," "))</f>
        <v>1</v>
      </c>
      <c r="AO89" s="90" t="str">
        <f>IF(OR(T89="Х",T89="св")," ",IF(AND(U89&gt;=0,U89&lt;3),"1"," "))</f>
        <v>1</v>
      </c>
      <c r="AP89" s="90">
        <f>COUNTIF(AH89:AO90,1)</f>
        <v>8</v>
      </c>
      <c r="AQ89" s="90">
        <f>AG89-AC89</f>
        <v>1280</v>
      </c>
      <c r="AR89" s="144">
        <f>IF(F89=0,0,IF(F89="Х",1,IF(H89="Х",2,IF(J89="Х",3,IF(L89="Х",4,IF(N89="Х",5,IF(P89="Х",6,IF(R89="Х",7,IF(T89="Х",8,IF(V89="Х",9,IF(Y89&gt;2.5,10,IF(AA89&gt;2.5,11,IF(AA89&gt;=0,12,IF(AA89=" ",0,))))))))))))))</f>
        <v>12</v>
      </c>
      <c r="AS89" s="90" t="str">
        <f>COUNTIF(AG$6:AG$134,"&gt;"&amp;AG$6:AG$134)+1&amp;REPT("-"&amp;COUNTIF(AG$6:AG$134,"&gt;="&amp;AG$6:AG$134),COUNTIF(AG$6:AG$134,AG89)&gt;1)</f>
        <v>1-54</v>
      </c>
      <c r="AT89" s="143" t="str">
        <f t="shared" ref="AT89:AW89" si="47">COUNTIF(AU$6:AU$134,"&gt;"&amp;AU$6:AU$134)+1&amp;REPT("-"&amp;COUNTIF(AU$6:AU$134,"&gt;="&amp;AU$6:AU$134),COUNTIF(AU$6:AU$134,AU89)&gt;1)</f>
        <v>1-64</v>
      </c>
      <c r="AU89" s="143" t="str">
        <f t="shared" si="47"/>
        <v>1-0</v>
      </c>
      <c r="AV89" s="143" t="str">
        <f t="shared" si="47"/>
        <v>1</v>
      </c>
      <c r="AW89" s="143" t="str">
        <f t="shared" si="47"/>
        <v>23</v>
      </c>
      <c r="AX89" s="145">
        <f>IF(X89="Х","Х",IF(Y89&lt;3,B89,"Х"))</f>
        <v>42</v>
      </c>
      <c r="AY89" s="146"/>
      <c r="AZ89" s="146"/>
      <c r="BA89" s="146"/>
      <c r="BB89" s="146"/>
      <c r="BC89" s="49"/>
      <c r="BD89" s="225"/>
      <c r="BE89" s="49"/>
      <c r="BF89" s="224"/>
      <c r="BG89" s="49"/>
      <c r="BH89" s="49"/>
      <c r="BI89" s="49"/>
      <c r="BJ89" s="49"/>
      <c r="BK89" s="49"/>
      <c r="BL89" s="49"/>
      <c r="BM89" s="195">
        <v>42.0</v>
      </c>
      <c r="BN89" s="196">
        <v>43.0</v>
      </c>
      <c r="BO89" s="153">
        <f>IF(BM89&lt;BN89,BM89,"")</f>
        <v>42</v>
      </c>
      <c r="BP89" s="196">
        <v>42.0</v>
      </c>
      <c r="BQ89" s="197"/>
      <c r="BR89" s="198">
        <v>42.0</v>
      </c>
      <c r="BS89" s="196">
        <v>44.0</v>
      </c>
      <c r="BT89" s="175">
        <f>IF(BR89&lt;BS89,BR89,"")</f>
        <v>42</v>
      </c>
      <c r="BU89" s="196">
        <v>42.0</v>
      </c>
      <c r="BV89" s="196"/>
      <c r="BW89" s="199">
        <v>42.0</v>
      </c>
      <c r="BX89" s="74" t="s">
        <v>361</v>
      </c>
      <c r="BY89" s="160">
        <f t="array" ref="BY89">IF(BW89&lt;BX89,BW89,"")</f>
        <v>42</v>
      </c>
      <c r="BZ89" s="160">
        <f t="shared" si="34"/>
        <v>42</v>
      </c>
      <c r="CA89" s="74"/>
      <c r="CB89" s="74" t="str">
        <f t="shared" si="35"/>
        <v>св</v>
      </c>
      <c r="CC89" s="200"/>
      <c r="CD89" s="243"/>
      <c r="CE89" s="200">
        <v>42.0</v>
      </c>
      <c r="CF89" s="25" t="s">
        <v>361</v>
      </c>
      <c r="CG89" s="153">
        <f t="array" ref="CG89">IF(CE89&lt;CF89,CE89,"")</f>
        <v>42</v>
      </c>
      <c r="CH89" s="74">
        <v>42.0</v>
      </c>
      <c r="CI89" s="182"/>
      <c r="CJ89" s="93">
        <v>42.0</v>
      </c>
      <c r="CK89" s="233" t="s">
        <v>361</v>
      </c>
      <c r="CL89" s="153">
        <f t="array" ref="CL89">IF(CJ89&lt;CK89,CJ89,"")</f>
        <v>42</v>
      </c>
      <c r="CM89" s="49">
        <v>42.0</v>
      </c>
      <c r="CN89" s="49"/>
      <c r="CO89" s="74">
        <v>42.0</v>
      </c>
      <c r="CP89" s="200" t="s">
        <v>361</v>
      </c>
      <c r="CQ89" s="153">
        <f t="array" ref="CQ89">IF(CO89&lt;CP89,CO89,"")</f>
        <v>42</v>
      </c>
      <c r="CR89" s="93">
        <v>42.0</v>
      </c>
      <c r="CS89" s="234"/>
      <c r="CT89" s="200">
        <v>42.0</v>
      </c>
      <c r="CU89" s="74" t="s">
        <v>361</v>
      </c>
      <c r="CV89" s="153">
        <f t="array" ref="CV89">IF(CT89&lt;CU89,CT89,"")</f>
        <v>42</v>
      </c>
      <c r="CW89" s="49">
        <v>42.0</v>
      </c>
      <c r="CX89" s="49"/>
      <c r="CY89" s="49">
        <v>42.0</v>
      </c>
      <c r="CZ89" s="49" t="s">
        <v>361</v>
      </c>
      <c r="DA89" s="153">
        <f t="array" ref="DA89">IF(CY89&lt;CZ89,CY89,"")</f>
        <v>42</v>
      </c>
      <c r="DB89" s="49">
        <v>42.0</v>
      </c>
      <c r="DC89" s="49"/>
      <c r="DD89" s="49">
        <v>42.0</v>
      </c>
      <c r="DE89" s="49"/>
      <c r="DF89" s="49"/>
      <c r="DG89" s="49"/>
      <c r="DH89" s="49"/>
    </row>
    <row r="90" ht="13.5" customHeight="1">
      <c r="A90" s="54"/>
      <c r="B90" s="165"/>
      <c r="C90" s="165"/>
      <c r="D90" s="165"/>
      <c r="E90" s="165"/>
      <c r="F90" s="166"/>
      <c r="G90" s="167"/>
      <c r="H90" s="168"/>
      <c r="I90" s="167"/>
      <c r="J90" s="168"/>
      <c r="K90" s="167"/>
      <c r="L90" s="168"/>
      <c r="M90" s="167"/>
      <c r="N90" s="168"/>
      <c r="O90" s="167"/>
      <c r="P90" s="168"/>
      <c r="Q90" s="167"/>
      <c r="R90" s="168"/>
      <c r="S90" s="167"/>
      <c r="T90" s="168"/>
      <c r="U90" s="169"/>
      <c r="V90" s="168"/>
      <c r="W90" s="169"/>
      <c r="X90" s="168"/>
      <c r="Y90" s="167"/>
      <c r="Z90" s="168"/>
      <c r="AA90" s="167"/>
      <c r="AB90" s="166"/>
      <c r="AC90" s="165"/>
      <c r="AD90" s="168"/>
      <c r="AE90" s="170"/>
      <c r="AF90" s="171"/>
      <c r="AG90" s="113"/>
      <c r="AH90" s="113"/>
      <c r="AI90" s="113"/>
      <c r="AJ90" s="113"/>
      <c r="AK90" s="113"/>
      <c r="AL90" s="113"/>
      <c r="AM90" s="113"/>
      <c r="AN90" s="113"/>
      <c r="AO90" s="113"/>
      <c r="AP90" s="113"/>
      <c r="AQ90" s="113"/>
      <c r="AR90" s="113"/>
      <c r="AS90" s="113"/>
      <c r="AT90" s="113"/>
      <c r="AU90" s="113"/>
      <c r="AV90" s="113"/>
      <c r="AW90" s="113"/>
      <c r="AY90" s="146"/>
      <c r="AZ90" s="146"/>
      <c r="BA90" s="146"/>
      <c r="BB90" s="146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178"/>
      <c r="BO90" s="175">
        <f>IF(BO89="","",BN89)</f>
        <v>43</v>
      </c>
      <c r="BP90" s="175">
        <v>43.0</v>
      </c>
      <c r="BQ90" s="197"/>
      <c r="BT90" s="175">
        <f>IF(BT89="","",BS89)</f>
        <v>44</v>
      </c>
      <c r="BU90" s="175">
        <v>44.0</v>
      </c>
      <c r="BV90" s="196"/>
      <c r="BW90" s="178"/>
      <c r="BY90" s="160" t="str">
        <f>IF(BY89="","",BX89)</f>
        <v> </v>
      </c>
      <c r="BZ90" s="160" t="str">
        <f t="shared" si="34"/>
        <v> </v>
      </c>
      <c r="CA90" s="200"/>
      <c r="CB90" s="74" t="str">
        <f t="shared" si="35"/>
        <v>св</v>
      </c>
      <c r="CC90" s="200"/>
      <c r="CD90" s="243"/>
      <c r="CG90" s="180" t="str">
        <f>IF(CG89="","",CF89)</f>
        <v> </v>
      </c>
      <c r="CH90" s="200" t="s">
        <v>361</v>
      </c>
      <c r="CI90" s="182"/>
      <c r="CJ90" s="49" t="s">
        <v>362</v>
      </c>
      <c r="CK90" s="235"/>
      <c r="CL90" s="180" t="str">
        <f>IF(CL89="","",CK89)</f>
        <v> </v>
      </c>
      <c r="CM90" s="49" t="s">
        <v>361</v>
      </c>
      <c r="CN90" s="49"/>
      <c r="CQ90" s="180" t="str">
        <f>IF(CQ89="","",CP89)</f>
        <v> </v>
      </c>
      <c r="CR90" s="49" t="s">
        <v>361</v>
      </c>
      <c r="CS90" s="234"/>
      <c r="CV90" s="180" t="str">
        <f>IF(CV89="","",CU89)</f>
        <v> </v>
      </c>
      <c r="CW90" s="49" t="s">
        <v>361</v>
      </c>
      <c r="CX90" s="49"/>
      <c r="CY90" s="49" t="s">
        <v>362</v>
      </c>
      <c r="CZ90" s="49"/>
      <c r="DA90" s="180" t="str">
        <f>IF(DA89="","",CZ89)</f>
        <v> </v>
      </c>
      <c r="DB90" s="49" t="s">
        <v>361</v>
      </c>
      <c r="DC90" s="49"/>
      <c r="DD90" s="49" t="s">
        <v>362</v>
      </c>
      <c r="DE90" s="49"/>
      <c r="DF90" s="49"/>
      <c r="DG90" s="49"/>
      <c r="DH90" s="49"/>
    </row>
    <row r="91" ht="13.5" customHeight="1">
      <c r="A91" s="54"/>
      <c r="B91" s="187">
        <v>43.0</v>
      </c>
      <c r="C91" s="188" t="str">
        <f>(VLOOKUP($B91,'Пр.взв'!$D$6:$J$63,2,0))</f>
        <v>ДМИТРИЕВ Сергей </v>
      </c>
      <c r="D91" s="189" t="str">
        <f>(VLOOKUP($B91,'Пр.взв'!$D$6:$J$63,5,0))</f>
        <v>КМС</v>
      </c>
      <c r="E91" s="190" t="str">
        <f>(VLOOKUP($B91,'Пр.взв'!$D$6:$M$63,8,0))</f>
        <v>Свердловская</v>
      </c>
      <c r="F91" s="130">
        <f>B89</f>
        <v>42</v>
      </c>
      <c r="G91" s="255"/>
      <c r="H91" s="132">
        <v>45.0</v>
      </c>
      <c r="I91" s="255"/>
      <c r="J91" s="133" t="str">
        <f>IF(H91="Х","Х",IF($AC91&lt;6," ","Х"))</f>
        <v> </v>
      </c>
      <c r="K91" s="134"/>
      <c r="L91" s="133" t="str">
        <f>IF(J91="Х","Х",IF(K91&lt;3," ",IF($AC91&lt;6," ","Х")))</f>
        <v> </v>
      </c>
      <c r="M91" s="134"/>
      <c r="N91" s="133" t="str">
        <f>IF(L91="Х","Х",IF(M91&lt;3," ",IF($AC91&lt;6," ","Х")))</f>
        <v> </v>
      </c>
      <c r="O91" s="134"/>
      <c r="P91" s="133" t="str">
        <f>IF(N91="Х","Х",IF(O91&lt;3," ",IF($AC91&lt;6," ","Х")))</f>
        <v> </v>
      </c>
      <c r="Q91" s="134"/>
      <c r="R91" s="133" t="str">
        <f>IF(P91="Х","Х",IF(Q91&lt;3," ",IF($AC91&lt;6," ","Х")))</f>
        <v> </v>
      </c>
      <c r="S91" s="134"/>
      <c r="T91" s="133" t="str">
        <f>IF(R91="Х","Х",IF(S91&lt;3," ",IF($AC91&lt;6," ","Х")))</f>
        <v> </v>
      </c>
      <c r="U91" s="135"/>
      <c r="V91" s="133" t="str">
        <f>IF(T91="Х","Х",IF(U91&lt;3," ",IF($AC91&lt;6," ","Х")))</f>
        <v> </v>
      </c>
      <c r="W91" s="135"/>
      <c r="X91" s="133" t="str">
        <f>IF(V91="А1",$AZ$7,IF(V91="Б2",$AZ$6,IF(V91="Б1",$BA$7,IF(V91="А2",$BA$6,IF(V91="Х","Х",IF(V91&lt;6," "," "))))))</f>
        <v> </v>
      </c>
      <c r="Y91" s="136"/>
      <c r="Z91" s="133" t="str">
        <f>IF(V91="Х","Х",IF(ISBLANK(Y91),"",IF(Y91&gt;2.5," ",IF(B91=BB$6,BB$7,BB$6))))</f>
        <v/>
      </c>
      <c r="AA91" s="136"/>
      <c r="AB91" s="240" t="str">
        <f>IF(H91="Х",F$5,IF(J91="Х",H$5,IF(L91="Х",J$5,IF(N91="Х",L$5,IF(P91="Х",N$5,IF(R91="Х",P$5,IF(T91="Х",R$5,IF(X91="Х",T$5,""))))))))</f>
        <v/>
      </c>
      <c r="AC91" s="138">
        <f>SUM(G91+I91+K91+M91+O91+Q91+S91+U91+Y91+AA91)</f>
        <v>0</v>
      </c>
      <c r="AD91" s="241" t="str">
        <f>AF91</f>
        <v>1-54</v>
      </c>
      <c r="AE91" s="140" t="str">
        <f>AD91</f>
        <v>1-54</v>
      </c>
      <c r="AF91" s="141" t="str">
        <f>COUNTIF(AG$6:AG$148,"&gt;"&amp;AG$6:AG$148)+1&amp;REPT("-"&amp;COUNTIF(AG$6:AG$148,"&gt;="&amp;AG$6:AG$148),COUNTIF(AG$6:AG$148,AG91)&gt;1)</f>
        <v>1-54</v>
      </c>
      <c r="AG91" s="142">
        <f>(AR91*100)+(AP91*10)-AC91</f>
        <v>1280</v>
      </c>
      <c r="AH91" s="143" t="str">
        <f>IF(OR(F91="Х",F91="св")," ",IF(AND(G91&gt;=0,G91&lt;3),"1"," "))</f>
        <v>1</v>
      </c>
      <c r="AI91" s="90" t="str">
        <f>IF(OR(H91="Х",H91="св")," ",IF(AND(I91&gt;=0,I91&lt;3),"1"," "))</f>
        <v>1</v>
      </c>
      <c r="AJ91" s="90" t="str">
        <f>IF(OR(J91="Х",J91="св")," ",IF(AND(K91&gt;=0,K91&lt;3),"1"," "))</f>
        <v>1</v>
      </c>
      <c r="AK91" s="90" t="str">
        <f>IF(OR(L91="Х",L91="св")," ",IF(AND(M91&gt;=0,M91&lt;3),"1"," "))</f>
        <v>1</v>
      </c>
      <c r="AL91" s="90" t="str">
        <f>IF(OR(N91="Х",N91="св")," ",IF(AND(O91&gt;=0,O91&lt;3),"1"," "))</f>
        <v>1</v>
      </c>
      <c r="AM91" s="90" t="str">
        <f>IF(OR(P91="Х",P91="св")," ",IF(AND(Q91&gt;=0,Q91&lt;3),"1"," "))</f>
        <v>1</v>
      </c>
      <c r="AN91" s="90" t="str">
        <f>IF(OR(R91="Х",R91="св")," ",IF(AND(S91&gt;=0,S91&lt;3),"1"," "))</f>
        <v>1</v>
      </c>
      <c r="AO91" s="90" t="str">
        <f>IF(OR(T91="Х",T91="св")," ",IF(AND(U91&gt;=0,U91&lt;3),"1"," "))</f>
        <v>1</v>
      </c>
      <c r="AP91" s="90">
        <f>COUNTIF(AH91:AO92,1)</f>
        <v>8</v>
      </c>
      <c r="AQ91" s="90">
        <f>AG91-AC91</f>
        <v>1280</v>
      </c>
      <c r="AR91" s="144">
        <f>IF(F91=0,0,IF(F91="Х",1,IF(H91="Х",2,IF(J91="Х",3,IF(L91="Х",4,IF(N91="Х",5,IF(P91="Х",6,IF(R91="Х",7,IF(T91="Х",8,IF(V91="Х",9,IF(Y91&gt;2.5,10,IF(AA91&gt;2.5,11,IF(AA91&gt;=0,12,IF(AA91=" ",0,))))))))))))))</f>
        <v>12</v>
      </c>
      <c r="AS91" s="90" t="str">
        <f>COUNTIF(AG$6:AG$134,"&gt;"&amp;AG$6:AG$134)+1&amp;REPT("-"&amp;COUNTIF(AG$6:AG$134,"&gt;="&amp;AG$6:AG$134),COUNTIF(AG$6:AG$134,AG91)&gt;1)</f>
        <v>1-54</v>
      </c>
      <c r="AT91" s="143" t="str">
        <f t="shared" ref="AT91:AW91" si="48">COUNTIF(AU$6:AU$134,"&gt;"&amp;AU$6:AU$134)+1&amp;REPT("-"&amp;COUNTIF(AU$6:AU$134,"&gt;="&amp;AU$6:AU$134),COUNTIF(AU$6:AU$134,AU91)&gt;1)</f>
        <v>1-64</v>
      </c>
      <c r="AU91" s="143" t="str">
        <f t="shared" si="48"/>
        <v>1-0</v>
      </c>
      <c r="AV91" s="143" t="str">
        <f t="shared" si="48"/>
        <v>1</v>
      </c>
      <c r="AW91" s="143" t="str">
        <f t="shared" si="48"/>
        <v>22</v>
      </c>
      <c r="AX91" s="145">
        <f>IF(X91="Х","Х",IF(Y91&lt;3,B91,"Х"))</f>
        <v>43</v>
      </c>
      <c r="AY91" s="146"/>
      <c r="AZ91" s="146"/>
      <c r="BA91" s="146"/>
      <c r="BB91" s="146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195">
        <v>43.0</v>
      </c>
      <c r="BN91" s="196">
        <v>42.0</v>
      </c>
      <c r="BO91" s="153" t="str">
        <f>IF(BM91&lt;BN91,BM91,"")</f>
        <v/>
      </c>
      <c r="BP91" s="196" t="s">
        <v>362</v>
      </c>
      <c r="BQ91" s="197"/>
      <c r="BR91" s="198">
        <v>43.0</v>
      </c>
      <c r="BS91" s="196">
        <v>45.0</v>
      </c>
      <c r="BT91" s="175">
        <f>IF(BR91&lt;BS91,BR91,"")</f>
        <v>43</v>
      </c>
      <c r="BU91" s="196">
        <v>43.0</v>
      </c>
      <c r="BV91" s="196"/>
      <c r="BW91" s="199">
        <v>43.0</v>
      </c>
      <c r="BX91" s="74" t="s">
        <v>361</v>
      </c>
      <c r="BY91" s="160">
        <f t="array" ref="BY91">IF(BW91&lt;BX91,BW91,"")</f>
        <v>43</v>
      </c>
      <c r="BZ91" s="160">
        <f t="shared" si="34"/>
        <v>43</v>
      </c>
      <c r="CA91" s="74"/>
      <c r="CB91" s="74" t="str">
        <f t="shared" si="35"/>
        <v>св</v>
      </c>
      <c r="CC91" s="200"/>
      <c r="CD91" s="243"/>
      <c r="CE91" s="200">
        <v>43.0</v>
      </c>
      <c r="CF91" s="25" t="s">
        <v>361</v>
      </c>
      <c r="CG91" s="153">
        <f t="array" ref="CG91">IF(CE91&lt;CF91,CE91,"")</f>
        <v>43</v>
      </c>
      <c r="CH91" s="74">
        <v>43.0</v>
      </c>
      <c r="CI91" s="182"/>
      <c r="CJ91" s="93">
        <v>43.0</v>
      </c>
      <c r="CK91" s="233" t="s">
        <v>361</v>
      </c>
      <c r="CL91" s="153">
        <f t="array" ref="CL91">IF(CJ91&lt;CK91,CJ91,"")</f>
        <v>43</v>
      </c>
      <c r="CM91" s="49">
        <v>43.0</v>
      </c>
      <c r="CN91" s="49"/>
      <c r="CO91" s="74">
        <v>43.0</v>
      </c>
      <c r="CP91" s="200" t="s">
        <v>361</v>
      </c>
      <c r="CQ91" s="153">
        <f t="array" ref="CQ91">IF(CO91&lt;CP91,CO91,"")</f>
        <v>43</v>
      </c>
      <c r="CR91" s="93">
        <v>43.0</v>
      </c>
      <c r="CS91" s="234"/>
      <c r="CT91" s="200">
        <v>43.0</v>
      </c>
      <c r="CU91" s="74" t="s">
        <v>361</v>
      </c>
      <c r="CV91" s="153">
        <f t="array" ref="CV91">IF(CT91&lt;CU91,CT91,"")</f>
        <v>43</v>
      </c>
      <c r="CW91" s="49">
        <v>43.0</v>
      </c>
      <c r="CX91" s="49"/>
      <c r="CY91" s="49">
        <v>43.0</v>
      </c>
      <c r="CZ91" s="49" t="s">
        <v>361</v>
      </c>
      <c r="DA91" s="153">
        <f t="array" ref="DA91">IF(CY91&lt;CZ91,CY91,"")</f>
        <v>43</v>
      </c>
      <c r="DB91" s="49">
        <v>43.0</v>
      </c>
      <c r="DC91" s="49"/>
      <c r="DD91" s="49">
        <v>43.0</v>
      </c>
      <c r="DE91" s="49"/>
      <c r="DF91" s="49"/>
      <c r="DG91" s="49"/>
      <c r="DH91" s="49"/>
    </row>
    <row r="92" ht="13.5" customHeight="1">
      <c r="A92" s="54"/>
      <c r="B92" s="165"/>
      <c r="C92" s="165"/>
      <c r="D92" s="165"/>
      <c r="E92" s="165"/>
      <c r="F92" s="166"/>
      <c r="G92" s="167"/>
      <c r="H92" s="168"/>
      <c r="I92" s="167"/>
      <c r="J92" s="168"/>
      <c r="K92" s="167"/>
      <c r="L92" s="168"/>
      <c r="M92" s="167"/>
      <c r="N92" s="168"/>
      <c r="O92" s="167"/>
      <c r="P92" s="168"/>
      <c r="Q92" s="167"/>
      <c r="R92" s="168"/>
      <c r="S92" s="167"/>
      <c r="T92" s="168"/>
      <c r="U92" s="169"/>
      <c r="V92" s="168"/>
      <c r="W92" s="169"/>
      <c r="X92" s="168"/>
      <c r="Y92" s="167"/>
      <c r="Z92" s="168"/>
      <c r="AA92" s="167"/>
      <c r="AB92" s="166"/>
      <c r="AC92" s="165"/>
      <c r="AD92" s="168"/>
      <c r="AE92" s="170"/>
      <c r="AF92" s="171"/>
      <c r="AG92" s="113"/>
      <c r="AH92" s="113"/>
      <c r="AI92" s="113"/>
      <c r="AJ92" s="113"/>
      <c r="AK92" s="113"/>
      <c r="AL92" s="113"/>
      <c r="AM92" s="113"/>
      <c r="AN92" s="113"/>
      <c r="AO92" s="113"/>
      <c r="AP92" s="113"/>
      <c r="AQ92" s="113"/>
      <c r="AR92" s="113"/>
      <c r="AS92" s="113"/>
      <c r="AT92" s="113"/>
      <c r="AU92" s="113"/>
      <c r="AV92" s="113"/>
      <c r="AW92" s="113"/>
      <c r="AY92" s="146"/>
      <c r="AZ92" s="146"/>
      <c r="BA92" s="146"/>
      <c r="BB92" s="146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178"/>
      <c r="BO92" s="175" t="str">
        <f>IF(BO91="","",BN91)</f>
        <v/>
      </c>
      <c r="BP92" s="175" t="s">
        <v>362</v>
      </c>
      <c r="BQ92" s="197"/>
      <c r="BT92" s="175">
        <f>IF(BT91="","",BS91)</f>
        <v>45</v>
      </c>
      <c r="BU92" s="175">
        <v>45.0</v>
      </c>
      <c r="BV92" s="196"/>
      <c r="BW92" s="178"/>
      <c r="BY92" s="160" t="str">
        <f>IF(BY91="","",BX91)</f>
        <v> </v>
      </c>
      <c r="BZ92" s="160" t="str">
        <f t="shared" si="34"/>
        <v> </v>
      </c>
      <c r="CA92" s="200"/>
      <c r="CB92" s="74" t="str">
        <f t="shared" si="35"/>
        <v>св</v>
      </c>
      <c r="CC92" s="200"/>
      <c r="CD92" s="243"/>
      <c r="CG92" s="180" t="str">
        <f>IF(CG91="","",CF91)</f>
        <v> </v>
      </c>
      <c r="CH92" s="200" t="s">
        <v>361</v>
      </c>
      <c r="CI92" s="182"/>
      <c r="CJ92" s="49" t="s">
        <v>362</v>
      </c>
      <c r="CK92" s="235"/>
      <c r="CL92" s="180" t="str">
        <f>IF(CL91="","",CK91)</f>
        <v> </v>
      </c>
      <c r="CM92" s="49" t="s">
        <v>361</v>
      </c>
      <c r="CN92" s="49"/>
      <c r="CQ92" s="180" t="str">
        <f>IF(CQ91="","",CP91)</f>
        <v> </v>
      </c>
      <c r="CR92" s="49" t="s">
        <v>361</v>
      </c>
      <c r="CS92" s="234"/>
      <c r="CV92" s="180" t="str">
        <f>IF(CV91="","",CU91)</f>
        <v> </v>
      </c>
      <c r="CW92" s="49" t="s">
        <v>361</v>
      </c>
      <c r="CX92" s="49"/>
      <c r="CY92" s="49" t="s">
        <v>362</v>
      </c>
      <c r="CZ92" s="49"/>
      <c r="DA92" s="180" t="str">
        <f>IF(DA91="","",CZ91)</f>
        <v> </v>
      </c>
      <c r="DB92" s="49" t="s">
        <v>361</v>
      </c>
      <c r="DC92" s="49"/>
      <c r="DD92" s="49" t="s">
        <v>362</v>
      </c>
      <c r="DE92" s="49"/>
      <c r="DF92" s="49"/>
      <c r="DG92" s="49"/>
      <c r="DH92" s="49"/>
    </row>
    <row r="93" ht="13.5" customHeight="1">
      <c r="A93" s="54"/>
      <c r="B93" s="187">
        <v>44.0</v>
      </c>
      <c r="C93" s="188" t="str">
        <f>(VLOOKUP($B93,'Пр.взв'!$D$6:$J$63,2,0))</f>
        <v>КОРОСТИЕНКО Денис</v>
      </c>
      <c r="D93" s="189" t="str">
        <f>(VLOOKUP($B93,'Пр.взв'!$D$6:$J$63,5,0))</f>
        <v>КМС</v>
      </c>
      <c r="E93" s="190" t="str">
        <f>(VLOOKUP($B93,'Пр.взв'!$D$6:$M$63,8,0))</f>
        <v>Хабаровский</v>
      </c>
      <c r="F93" s="130">
        <f>B95</f>
        <v>45</v>
      </c>
      <c r="G93" s="134"/>
      <c r="H93" s="132">
        <v>42.0</v>
      </c>
      <c r="I93" s="134"/>
      <c r="J93" s="133" t="str">
        <f>IF(H93="Х","Х",IF($AC93&lt;6," ","Х"))</f>
        <v> </v>
      </c>
      <c r="K93" s="134"/>
      <c r="L93" s="133" t="str">
        <f>IF(J93="Х","Х",IF(K93&lt;3," ",IF($AC93&lt;6," ","Х")))</f>
        <v> </v>
      </c>
      <c r="M93" s="134"/>
      <c r="N93" s="133" t="str">
        <f>IF(L93="Х","Х",IF(M93&lt;3," ",IF($AC93&lt;6," ","Х")))</f>
        <v> </v>
      </c>
      <c r="O93" s="134"/>
      <c r="P93" s="133" t="str">
        <f>IF(N93="Х","Х",IF(O93&lt;3," ",IF($AC93&lt;6," ","Х")))</f>
        <v> </v>
      </c>
      <c r="Q93" s="134"/>
      <c r="R93" s="133" t="str">
        <f>IF(P93="Х","Х",IF(Q93&lt;3," ",IF($AC93&lt;6," ","Х")))</f>
        <v> </v>
      </c>
      <c r="S93" s="134"/>
      <c r="T93" s="133" t="str">
        <f>IF(R93="Х","Х",IF(S93&lt;3," ",IF($AC93&lt;6," ","Х")))</f>
        <v> </v>
      </c>
      <c r="U93" s="135"/>
      <c r="V93" s="133" t="str">
        <f>IF(T93="Х","Х",IF(U93&lt;3," ",IF($AC93&lt;6," ","Х")))</f>
        <v> </v>
      </c>
      <c r="W93" s="135"/>
      <c r="X93" s="133" t="str">
        <f>IF(V93="А1",$AZ$7,IF(V93="Б2",$AZ$6,IF(V93="Б1",$BA$7,IF(V93="А2",$BA$6,IF(V93="Х","Х",IF(V93&lt;6," "," "))))))</f>
        <v> </v>
      </c>
      <c r="Y93" s="136"/>
      <c r="Z93" s="133" t="str">
        <f>IF(V93="Х","Х",IF(ISBLANK(Y93),"",IF(Y93&gt;2.5," ",IF(B93=BB$6,BB$7,BB$6))))</f>
        <v/>
      </c>
      <c r="AA93" s="136"/>
      <c r="AB93" s="240" t="str">
        <f>IF(H93="Х",F$5,IF(J93="Х",H$5,IF(L93="Х",J$5,IF(N93="Х",L$5,IF(P93="Х",N$5,IF(R93="Х",P$5,IF(T93="Х",R$5,IF(X93="Х",T$5,""))))))))</f>
        <v/>
      </c>
      <c r="AC93" s="138">
        <f>SUM(G93+I93+K93+M93+O93+Q93+S93+U93+Y93+AA93)</f>
        <v>0</v>
      </c>
      <c r="AD93" s="241" t="str">
        <f>AF93</f>
        <v>1-54</v>
      </c>
      <c r="AE93" s="140" t="str">
        <f>AD93</f>
        <v>1-54</v>
      </c>
      <c r="AF93" s="141" t="str">
        <f>COUNTIF(AG$6:AG$148,"&gt;"&amp;AG$6:AG$148)+1&amp;REPT("-"&amp;COUNTIF(AG$6:AG$148,"&gt;="&amp;AG$6:AG$148),COUNTIF(AG$6:AG$148,AG93)&gt;1)</f>
        <v>1-54</v>
      </c>
      <c r="AG93" s="142">
        <f>(AR93*100)+(AP93*10)-AC93</f>
        <v>1280</v>
      </c>
      <c r="AH93" s="143" t="str">
        <f>IF(OR(F93="Х",F93="св")," ",IF(AND(G93&gt;=0,G93&lt;3),"1"," "))</f>
        <v>1</v>
      </c>
      <c r="AI93" s="90" t="str">
        <f>IF(OR(H93="Х",H93="св")," ",IF(AND(I93&gt;=0,I93&lt;3),"1"," "))</f>
        <v>1</v>
      </c>
      <c r="AJ93" s="90" t="str">
        <f>IF(OR(J93="Х",J93="св")," ",IF(AND(K93&gt;=0,K93&lt;3),"1"," "))</f>
        <v>1</v>
      </c>
      <c r="AK93" s="90" t="str">
        <f>IF(OR(L93="Х",L93="св")," ",IF(AND(M93&gt;=0,M93&lt;3),"1"," "))</f>
        <v>1</v>
      </c>
      <c r="AL93" s="90" t="str">
        <f>IF(OR(N93="Х",N93="св")," ",IF(AND(O93&gt;=0,O93&lt;3),"1"," "))</f>
        <v>1</v>
      </c>
      <c r="AM93" s="90" t="str">
        <f>IF(OR(P93="Х",P93="св")," ",IF(AND(Q93&gt;=0,Q93&lt;3),"1"," "))</f>
        <v>1</v>
      </c>
      <c r="AN93" s="90" t="str">
        <f>IF(OR(R93="Х",R93="св")," ",IF(AND(S93&gt;=0,S93&lt;3),"1"," "))</f>
        <v>1</v>
      </c>
      <c r="AO93" s="90" t="str">
        <f>IF(OR(T93="Х",T93="св")," ",IF(AND(U93&gt;=0,U93&lt;3),"1"," "))</f>
        <v>1</v>
      </c>
      <c r="AP93" s="90">
        <f>COUNTIF(AH93:AO94,1)</f>
        <v>8</v>
      </c>
      <c r="AQ93" s="90">
        <f>AG93-AC93</f>
        <v>1280</v>
      </c>
      <c r="AR93" s="144">
        <f>IF(F93=0,0,IF(F93="Х",1,IF(H93="Х",2,IF(J93="Х",3,IF(L93="Х",4,IF(N93="Х",5,IF(P93="Х",6,IF(R93="Х",7,IF(T93="Х",8,IF(V93="Х",9,IF(Y93&gt;2.5,10,IF(AA93&gt;2.5,11,IF(AA93&gt;=0,12,IF(AA93=" ",0,))))))))))))))</f>
        <v>12</v>
      </c>
      <c r="AS93" s="90" t="str">
        <f>COUNTIF(AG$6:AG$134,"&gt;"&amp;AG$6:AG$134)+1&amp;REPT("-"&amp;COUNTIF(AG$6:AG$134,"&gt;="&amp;AG$6:AG$134),COUNTIF(AG$6:AG$134,AG93)&gt;1)</f>
        <v>1-54</v>
      </c>
      <c r="AT93" s="143" t="str">
        <f t="shared" ref="AT93:AW93" si="49">COUNTIF(AU$6:AU$134,"&gt;"&amp;AU$6:AU$134)+1&amp;REPT("-"&amp;COUNTIF(AU$6:AU$134,"&gt;="&amp;AU$6:AU$134),COUNTIF(AU$6:AU$134,AU93)&gt;1)</f>
        <v>1-64</v>
      </c>
      <c r="AU93" s="143" t="str">
        <f t="shared" si="49"/>
        <v>1-0</v>
      </c>
      <c r="AV93" s="143" t="str">
        <f t="shared" si="49"/>
        <v>1</v>
      </c>
      <c r="AW93" s="143" t="str">
        <f t="shared" si="49"/>
        <v>21</v>
      </c>
      <c r="AX93" s="145">
        <f>IF(X93="Х","Х",IF(Y93&lt;3,B93,"Х"))</f>
        <v>44</v>
      </c>
      <c r="AY93" s="146"/>
      <c r="AZ93" s="146"/>
      <c r="BA93" s="146"/>
      <c r="BB93" s="146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195">
        <v>44.0</v>
      </c>
      <c r="BN93" s="196">
        <v>45.0</v>
      </c>
      <c r="BO93" s="153">
        <f>IF(BM93&lt;BN93,BM93,"")</f>
        <v>44</v>
      </c>
      <c r="BP93" s="196">
        <v>44.0</v>
      </c>
      <c r="BQ93" s="197"/>
      <c r="BR93" s="198">
        <v>44.0</v>
      </c>
      <c r="BS93" s="196">
        <v>42.0</v>
      </c>
      <c r="BT93" s="175" t="str">
        <f>IF(BR93&lt;BS93,BR93,"")</f>
        <v/>
      </c>
      <c r="BU93" s="196" t="s">
        <v>362</v>
      </c>
      <c r="BV93" s="196"/>
      <c r="BW93" s="199">
        <v>44.0</v>
      </c>
      <c r="BX93" s="74" t="s">
        <v>361</v>
      </c>
      <c r="BY93" s="160">
        <f t="array" ref="BY93">IF(BW93&lt;BX93,BW93,"")</f>
        <v>44</v>
      </c>
      <c r="BZ93" s="160">
        <f t="shared" si="34"/>
        <v>44</v>
      </c>
      <c r="CA93" s="74"/>
      <c r="CB93" s="74" t="str">
        <f t="shared" si="35"/>
        <v>св</v>
      </c>
      <c r="CC93" s="200"/>
      <c r="CD93" s="243"/>
      <c r="CE93" s="200">
        <v>44.0</v>
      </c>
      <c r="CF93" s="25" t="s">
        <v>361</v>
      </c>
      <c r="CG93" s="153">
        <f t="array" ref="CG93">IF(CE93&lt;CF93,CE93,"")</f>
        <v>44</v>
      </c>
      <c r="CH93" s="74">
        <v>44.0</v>
      </c>
      <c r="CI93" s="182"/>
      <c r="CJ93" s="93">
        <v>44.0</v>
      </c>
      <c r="CK93" s="233" t="s">
        <v>361</v>
      </c>
      <c r="CL93" s="153">
        <f t="array" ref="CL93">IF(CJ93&lt;CK93,CJ93,"")</f>
        <v>44</v>
      </c>
      <c r="CM93" s="49">
        <v>44.0</v>
      </c>
      <c r="CN93" s="49"/>
      <c r="CO93" s="74">
        <v>44.0</v>
      </c>
      <c r="CP93" s="200" t="s">
        <v>361</v>
      </c>
      <c r="CQ93" s="153">
        <f t="array" ref="CQ93">IF(CO93&lt;CP93,CO93,"")</f>
        <v>44</v>
      </c>
      <c r="CR93" s="93">
        <v>44.0</v>
      </c>
      <c r="CS93" s="234"/>
      <c r="CT93" s="200">
        <v>44.0</v>
      </c>
      <c r="CU93" s="74" t="s">
        <v>361</v>
      </c>
      <c r="CV93" s="153">
        <f t="array" ref="CV93">IF(CT93&lt;CU93,CT93,"")</f>
        <v>44</v>
      </c>
      <c r="CW93" s="49">
        <v>44.0</v>
      </c>
      <c r="CX93" s="49"/>
      <c r="CY93" s="49">
        <v>44.0</v>
      </c>
      <c r="CZ93" s="49" t="s">
        <v>361</v>
      </c>
      <c r="DA93" s="153">
        <f t="array" ref="DA93">IF(CY93&lt;CZ93,CY93,"")</f>
        <v>44</v>
      </c>
      <c r="DB93" s="49">
        <v>44.0</v>
      </c>
      <c r="DC93" s="49"/>
      <c r="DD93" s="49">
        <v>44.0</v>
      </c>
      <c r="DE93" s="49"/>
      <c r="DF93" s="49"/>
      <c r="DG93" s="49"/>
      <c r="DH93" s="49"/>
    </row>
    <row r="94" ht="13.5" customHeight="1">
      <c r="A94" s="54"/>
      <c r="B94" s="165"/>
      <c r="C94" s="165"/>
      <c r="D94" s="165"/>
      <c r="E94" s="165"/>
      <c r="F94" s="166"/>
      <c r="G94" s="167"/>
      <c r="H94" s="168"/>
      <c r="I94" s="167"/>
      <c r="J94" s="168"/>
      <c r="K94" s="167"/>
      <c r="L94" s="168"/>
      <c r="M94" s="167"/>
      <c r="N94" s="168"/>
      <c r="O94" s="167"/>
      <c r="P94" s="168"/>
      <c r="Q94" s="167"/>
      <c r="R94" s="168"/>
      <c r="S94" s="167"/>
      <c r="T94" s="168"/>
      <c r="U94" s="169"/>
      <c r="V94" s="168"/>
      <c r="W94" s="169"/>
      <c r="X94" s="168"/>
      <c r="Y94" s="167"/>
      <c r="Z94" s="168"/>
      <c r="AA94" s="167"/>
      <c r="AB94" s="166"/>
      <c r="AC94" s="165"/>
      <c r="AD94" s="168"/>
      <c r="AE94" s="170"/>
      <c r="AF94" s="171"/>
      <c r="AG94" s="113"/>
      <c r="AH94" s="113"/>
      <c r="AI94" s="113"/>
      <c r="AJ94" s="113"/>
      <c r="AK94" s="113"/>
      <c r="AL94" s="113"/>
      <c r="AM94" s="113"/>
      <c r="AN94" s="113"/>
      <c r="AO94" s="113"/>
      <c r="AP94" s="113"/>
      <c r="AQ94" s="113"/>
      <c r="AR94" s="113"/>
      <c r="AS94" s="113"/>
      <c r="AT94" s="113"/>
      <c r="AU94" s="113"/>
      <c r="AV94" s="113"/>
      <c r="AW94" s="113"/>
      <c r="AY94" s="146"/>
      <c r="AZ94" s="146"/>
      <c r="BA94" s="146"/>
      <c r="BB94" s="146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178"/>
      <c r="BO94" s="175">
        <f>IF(BO93="","",BN93)</f>
        <v>45</v>
      </c>
      <c r="BP94" s="175">
        <v>45.0</v>
      </c>
      <c r="BQ94" s="197"/>
      <c r="BT94" s="175" t="str">
        <f>IF(BT93="","",BS93)</f>
        <v/>
      </c>
      <c r="BU94" s="175" t="s">
        <v>362</v>
      </c>
      <c r="BV94" s="196"/>
      <c r="BW94" s="178"/>
      <c r="BY94" s="160" t="str">
        <f>IF(BY93="","",BX93)</f>
        <v> </v>
      </c>
      <c r="BZ94" s="160" t="str">
        <f t="shared" si="34"/>
        <v> </v>
      </c>
      <c r="CA94" s="200"/>
      <c r="CB94" s="74" t="str">
        <f t="shared" si="35"/>
        <v>св</v>
      </c>
      <c r="CC94" s="200"/>
      <c r="CD94" s="243"/>
      <c r="CG94" s="180" t="str">
        <f>IF(CG93="","",CF93)</f>
        <v> </v>
      </c>
      <c r="CH94" s="200" t="s">
        <v>361</v>
      </c>
      <c r="CI94" s="182"/>
      <c r="CJ94" s="49" t="s">
        <v>362</v>
      </c>
      <c r="CK94" s="235"/>
      <c r="CL94" s="180" t="str">
        <f>IF(CL93="","",CK93)</f>
        <v> </v>
      </c>
      <c r="CM94" s="49" t="s">
        <v>361</v>
      </c>
      <c r="CN94" s="49"/>
      <c r="CQ94" s="180" t="str">
        <f>IF(CQ93="","",CP93)</f>
        <v> </v>
      </c>
      <c r="CR94" s="49" t="s">
        <v>361</v>
      </c>
      <c r="CS94" s="234"/>
      <c r="CV94" s="180" t="str">
        <f>IF(CV93="","",CU93)</f>
        <v> </v>
      </c>
      <c r="CW94" s="49" t="s">
        <v>361</v>
      </c>
      <c r="CX94" s="49"/>
      <c r="CY94" s="49" t="s">
        <v>362</v>
      </c>
      <c r="CZ94" s="49"/>
      <c r="DA94" s="180" t="str">
        <f>IF(DA93="","",CZ93)</f>
        <v> </v>
      </c>
      <c r="DB94" s="49" t="s">
        <v>361</v>
      </c>
      <c r="DC94" s="49"/>
      <c r="DD94" s="49" t="s">
        <v>362</v>
      </c>
      <c r="DE94" s="49"/>
      <c r="DF94" s="49"/>
      <c r="DG94" s="49"/>
      <c r="DH94" s="49"/>
    </row>
    <row r="95" ht="13.5" customHeight="1">
      <c r="A95" s="54"/>
      <c r="B95" s="187">
        <v>45.0</v>
      </c>
      <c r="C95" s="188" t="str">
        <f>(VLOOKUP($B95,'Пр.взв'!$D$6:$J$63,2,0))</f>
        <v>ДОЛАЕВ Тимур</v>
      </c>
      <c r="D95" s="189" t="str">
        <f>(VLOOKUP($B95,'Пр.взв'!$D$6:$J$63,5,0))</f>
        <v>КМС</v>
      </c>
      <c r="E95" s="190" t="str">
        <f>(VLOOKUP($B95,'Пр.взв'!$D$6:$M$63,8,0))</f>
        <v>Ставропольский</v>
      </c>
      <c r="F95" s="130">
        <f>B93</f>
        <v>44</v>
      </c>
      <c r="G95" s="255"/>
      <c r="H95" s="132">
        <v>43.0</v>
      </c>
      <c r="I95" s="255"/>
      <c r="J95" s="133" t="str">
        <f>IF(H95="Х","Х",IF($AC95&lt;6," ","Х"))</f>
        <v> </v>
      </c>
      <c r="K95" s="134"/>
      <c r="L95" s="133" t="str">
        <f>IF(J95="Х","Х",IF(K95&lt;3," ",IF($AC95&lt;6," ","Х")))</f>
        <v> </v>
      </c>
      <c r="M95" s="134"/>
      <c r="N95" s="133" t="str">
        <f>IF(L95="Х","Х",IF(M95&lt;3," ",IF($AC95&lt;6," ","Х")))</f>
        <v> </v>
      </c>
      <c r="O95" s="134"/>
      <c r="P95" s="133" t="str">
        <f>IF(N95="Х","Х",IF(O95&lt;3," ",IF($AC95&lt;6," ","Х")))</f>
        <v> </v>
      </c>
      <c r="Q95" s="134"/>
      <c r="R95" s="133" t="str">
        <f>IF(P95="Х","Х",IF(Q95&lt;3," ",IF($AC95&lt;6," ","Х")))</f>
        <v> </v>
      </c>
      <c r="S95" s="134"/>
      <c r="T95" s="133" t="str">
        <f>IF(R95="Х","Х",IF(S95&lt;3," ",IF($AC95&lt;6," ","Х")))</f>
        <v> </v>
      </c>
      <c r="U95" s="135"/>
      <c r="V95" s="133" t="str">
        <f>IF(T95="Х","Х",IF(U95&lt;3," ",IF($AC95&lt;6," ","Х")))</f>
        <v> </v>
      </c>
      <c r="W95" s="135"/>
      <c r="X95" s="133" t="str">
        <f>IF(V95="А1",$AZ$7,IF(V95="Б2",$AZ$6,IF(V95="Б1",$BA$7,IF(V95="А2",$BA$6,IF(V95="Х","Х",IF(V95&lt;6," "," "))))))</f>
        <v> </v>
      </c>
      <c r="Y95" s="136"/>
      <c r="Z95" s="133" t="str">
        <f>IF(V95="Х","Х",IF(ISBLANK(Y95),"",IF(Y95&gt;2.5," ",IF(B95=BB$6,BB$7,BB$6))))</f>
        <v/>
      </c>
      <c r="AA95" s="136"/>
      <c r="AB95" s="240" t="str">
        <f>IF(H95="Х",F$5,IF(J95="Х",H$5,IF(L95="Х",J$5,IF(N95="Х",L$5,IF(P95="Х",N$5,IF(R95="Х",P$5,IF(T95="Х",R$5,IF(X95="Х",T$5,""))))))))</f>
        <v/>
      </c>
      <c r="AC95" s="138">
        <f>SUM(G95+I95+K95+M95+O95+Q95+S95+U95+Y95+AA95)</f>
        <v>0</v>
      </c>
      <c r="AD95" s="241" t="str">
        <f>AF95</f>
        <v>1-54</v>
      </c>
      <c r="AE95" s="140" t="str">
        <f>AD95</f>
        <v>1-54</v>
      </c>
      <c r="AF95" s="141" t="str">
        <f>COUNTIF(AG$6:AG$148,"&gt;"&amp;AG$6:AG$148)+1&amp;REPT("-"&amp;COUNTIF(AG$6:AG$148,"&gt;="&amp;AG$6:AG$148),COUNTIF(AG$6:AG$148,AG95)&gt;1)</f>
        <v>1-54</v>
      </c>
      <c r="AG95" s="142">
        <f>(AR95*100)+(AP95*10)-AC95</f>
        <v>1280</v>
      </c>
      <c r="AH95" s="143" t="str">
        <f>IF(OR(F95="Х",F95="св")," ",IF(AND(G95&gt;=0,G95&lt;3),"1"," "))</f>
        <v>1</v>
      </c>
      <c r="AI95" s="90" t="str">
        <f>IF(OR(H95="Х",H95="св")," ",IF(AND(I95&gt;=0,I95&lt;3),"1"," "))</f>
        <v>1</v>
      </c>
      <c r="AJ95" s="90" t="str">
        <f>IF(OR(J95="Х",J95="св")," ",IF(AND(K95&gt;=0,K95&lt;3),"1"," "))</f>
        <v>1</v>
      </c>
      <c r="AK95" s="90" t="str">
        <f>IF(OR(L95="Х",L95="св")," ",IF(AND(M95&gt;=0,M95&lt;3),"1"," "))</f>
        <v>1</v>
      </c>
      <c r="AL95" s="90" t="str">
        <f>IF(OR(N95="Х",N95="св")," ",IF(AND(O95&gt;=0,O95&lt;3),"1"," "))</f>
        <v>1</v>
      </c>
      <c r="AM95" s="90" t="str">
        <f>IF(OR(P95="Х",P95="св")," ",IF(AND(Q95&gt;=0,Q95&lt;3),"1"," "))</f>
        <v>1</v>
      </c>
      <c r="AN95" s="90" t="str">
        <f>IF(OR(R95="Х",R95="св")," ",IF(AND(S95&gt;=0,S95&lt;3),"1"," "))</f>
        <v>1</v>
      </c>
      <c r="AO95" s="90" t="str">
        <f>IF(OR(T95="Х",T95="св")," ",IF(AND(U95&gt;=0,U95&lt;3),"1"," "))</f>
        <v>1</v>
      </c>
      <c r="AP95" s="90">
        <f>COUNTIF(AH95:AO96,1)</f>
        <v>8</v>
      </c>
      <c r="AQ95" s="90">
        <f>AG95-AC95</f>
        <v>1280</v>
      </c>
      <c r="AR95" s="144">
        <f>IF(F95=0,0,IF(F95="Х",1,IF(H95="Х",2,IF(J95="Х",3,IF(L95="Х",4,IF(N95="Х",5,IF(P95="Х",6,IF(R95="Х",7,IF(T95="Х",8,IF(V95="Х",9,IF(Y95&gt;2.5,10,IF(AA95&gt;2.5,11,IF(AA95&gt;=0,12,IF(AA95=" ",0,))))))))))))))</f>
        <v>12</v>
      </c>
      <c r="AS95" s="90" t="str">
        <f>COUNTIF(AG$6:AG$134,"&gt;"&amp;AG$6:AG$134)+1&amp;REPT("-"&amp;COUNTIF(AG$6:AG$134,"&gt;="&amp;AG$6:AG$134),COUNTIF(AG$6:AG$134,AG95)&gt;1)</f>
        <v>1-54</v>
      </c>
      <c r="AT95" s="143" t="str">
        <f t="shared" ref="AT95:AW95" si="50">COUNTIF(AU$6:AU$134,"&gt;"&amp;AU$6:AU$134)+1&amp;REPT("-"&amp;COUNTIF(AU$6:AU$134,"&gt;="&amp;AU$6:AU$134),COUNTIF(AU$6:AU$134,AU95)&gt;1)</f>
        <v>1-64</v>
      </c>
      <c r="AU95" s="143" t="str">
        <f t="shared" si="50"/>
        <v>1-0</v>
      </c>
      <c r="AV95" s="143" t="str">
        <f t="shared" si="50"/>
        <v>1</v>
      </c>
      <c r="AW95" s="143" t="str">
        <f t="shared" si="50"/>
        <v>20</v>
      </c>
      <c r="AX95" s="145">
        <f>IF(X95="Х","Х",IF(Y95&lt;3,B95,"Х"))</f>
        <v>45</v>
      </c>
      <c r="AY95" s="146"/>
      <c r="AZ95" s="146"/>
      <c r="BA95" s="146"/>
      <c r="BB95" s="146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195">
        <v>45.0</v>
      </c>
      <c r="BN95" s="196">
        <v>44.0</v>
      </c>
      <c r="BO95" s="153" t="str">
        <f>IF(BM95&lt;BN95,BM95,"")</f>
        <v/>
      </c>
      <c r="BP95" s="196" t="s">
        <v>362</v>
      </c>
      <c r="BQ95" s="197"/>
      <c r="BR95" s="198">
        <v>45.0</v>
      </c>
      <c r="BS95" s="196">
        <v>43.0</v>
      </c>
      <c r="BT95" s="175" t="str">
        <f>IF(BR95&lt;BS95,BR95,"")</f>
        <v/>
      </c>
      <c r="BU95" s="196" t="s">
        <v>362</v>
      </c>
      <c r="BV95" s="196"/>
      <c r="BW95" s="199">
        <v>45.0</v>
      </c>
      <c r="BX95" s="74" t="s">
        <v>361</v>
      </c>
      <c r="BY95" s="160">
        <f t="array" ref="BY95">IF(BW95&lt;BX95,BW95,"")</f>
        <v>45</v>
      </c>
      <c r="BZ95" s="160">
        <f t="shared" si="34"/>
        <v>45</v>
      </c>
      <c r="CA95" s="74"/>
      <c r="CB95" s="74" t="str">
        <f t="shared" si="35"/>
        <v>св</v>
      </c>
      <c r="CC95" s="200"/>
      <c r="CD95" s="243"/>
      <c r="CE95" s="200">
        <v>45.0</v>
      </c>
      <c r="CF95" s="25" t="s">
        <v>361</v>
      </c>
      <c r="CG95" s="153">
        <f t="array" ref="CG95">IF(CE95&lt;CF95,CE95,"")</f>
        <v>45</v>
      </c>
      <c r="CH95" s="74">
        <v>45.0</v>
      </c>
      <c r="CI95" s="182"/>
      <c r="CJ95" s="93">
        <v>45.0</v>
      </c>
      <c r="CK95" s="233" t="s">
        <v>361</v>
      </c>
      <c r="CL95" s="153">
        <f t="array" ref="CL95">IF(CJ95&lt;CK95,CJ95,"")</f>
        <v>45</v>
      </c>
      <c r="CM95" s="49">
        <v>45.0</v>
      </c>
      <c r="CN95" s="49"/>
      <c r="CO95" s="74">
        <v>45.0</v>
      </c>
      <c r="CP95" s="200" t="s">
        <v>361</v>
      </c>
      <c r="CQ95" s="153">
        <f t="array" ref="CQ95">IF(CO95&lt;CP95,CO95,"")</f>
        <v>45</v>
      </c>
      <c r="CR95" s="93">
        <v>45.0</v>
      </c>
      <c r="CS95" s="234"/>
      <c r="CT95" s="200">
        <v>45.0</v>
      </c>
      <c r="CU95" s="74" t="s">
        <v>361</v>
      </c>
      <c r="CV95" s="153">
        <f t="array" ref="CV95">IF(CT95&lt;CU95,CT95,"")</f>
        <v>45</v>
      </c>
      <c r="CW95" s="49">
        <v>45.0</v>
      </c>
      <c r="CX95" s="49"/>
      <c r="CY95" s="49">
        <v>45.0</v>
      </c>
      <c r="CZ95" s="49" t="s">
        <v>361</v>
      </c>
      <c r="DA95" s="153">
        <f t="array" ref="DA95">IF(CY95&lt;CZ95,CY95,"")</f>
        <v>45</v>
      </c>
      <c r="DB95" s="49">
        <v>45.0</v>
      </c>
      <c r="DC95" s="49"/>
      <c r="DD95" s="49">
        <v>45.0</v>
      </c>
      <c r="DE95" s="49"/>
      <c r="DF95" s="49"/>
      <c r="DG95" s="49"/>
      <c r="DH95" s="49"/>
    </row>
    <row r="96" ht="13.5" customHeight="1">
      <c r="A96" s="54"/>
      <c r="B96" s="165"/>
      <c r="C96" s="165"/>
      <c r="D96" s="165"/>
      <c r="E96" s="165"/>
      <c r="F96" s="166"/>
      <c r="G96" s="167"/>
      <c r="H96" s="168"/>
      <c r="I96" s="167"/>
      <c r="J96" s="168"/>
      <c r="K96" s="167"/>
      <c r="L96" s="168"/>
      <c r="M96" s="167"/>
      <c r="N96" s="168"/>
      <c r="O96" s="167"/>
      <c r="P96" s="168"/>
      <c r="Q96" s="167"/>
      <c r="R96" s="168"/>
      <c r="S96" s="167"/>
      <c r="T96" s="168"/>
      <c r="U96" s="169"/>
      <c r="V96" s="168"/>
      <c r="W96" s="169"/>
      <c r="X96" s="168"/>
      <c r="Y96" s="167"/>
      <c r="Z96" s="168"/>
      <c r="AA96" s="167"/>
      <c r="AB96" s="166"/>
      <c r="AC96" s="165"/>
      <c r="AD96" s="168"/>
      <c r="AE96" s="170"/>
      <c r="AF96" s="171"/>
      <c r="AG96" s="113"/>
      <c r="AH96" s="113"/>
      <c r="AI96" s="113"/>
      <c r="AJ96" s="113"/>
      <c r="AK96" s="113"/>
      <c r="AL96" s="113"/>
      <c r="AM96" s="113"/>
      <c r="AN96" s="113"/>
      <c r="AO96" s="113"/>
      <c r="AP96" s="113"/>
      <c r="AQ96" s="113"/>
      <c r="AR96" s="113"/>
      <c r="AS96" s="113"/>
      <c r="AT96" s="113"/>
      <c r="AU96" s="113"/>
      <c r="AV96" s="113"/>
      <c r="AW96" s="113"/>
      <c r="AY96" s="146"/>
      <c r="AZ96" s="146"/>
      <c r="BA96" s="146"/>
      <c r="BB96" s="146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178"/>
      <c r="BO96" s="175" t="str">
        <f>IF(BO95="","",BN95)</f>
        <v/>
      </c>
      <c r="BP96" s="175" t="s">
        <v>362</v>
      </c>
      <c r="BQ96" s="197"/>
      <c r="BT96" s="175" t="str">
        <f>IF(BT95="","",BS95)</f>
        <v/>
      </c>
      <c r="BU96" s="175" t="s">
        <v>362</v>
      </c>
      <c r="BV96" s="196"/>
      <c r="BW96" s="178"/>
      <c r="BY96" s="160" t="str">
        <f>IF(BY95="","",BX95)</f>
        <v> </v>
      </c>
      <c r="BZ96" s="160" t="str">
        <f t="shared" si="34"/>
        <v> </v>
      </c>
      <c r="CA96" s="200"/>
      <c r="CB96" s="74" t="str">
        <f t="shared" si="35"/>
        <v>св</v>
      </c>
      <c r="CC96" s="200"/>
      <c r="CD96" s="243"/>
      <c r="CG96" s="180" t="str">
        <f>IF(CG95="","",CF95)</f>
        <v> </v>
      </c>
      <c r="CH96" s="200" t="s">
        <v>361</v>
      </c>
      <c r="CI96" s="182"/>
      <c r="CJ96" s="49" t="s">
        <v>362</v>
      </c>
      <c r="CK96" s="235"/>
      <c r="CL96" s="180" t="str">
        <f>IF(CL95="","",CK95)</f>
        <v> </v>
      </c>
      <c r="CM96" s="49" t="s">
        <v>361</v>
      </c>
      <c r="CN96" s="49"/>
      <c r="CQ96" s="180" t="str">
        <f>IF(CQ95="","",CP95)</f>
        <v> </v>
      </c>
      <c r="CR96" s="49" t="s">
        <v>361</v>
      </c>
      <c r="CS96" s="234"/>
      <c r="CV96" s="180" t="str">
        <f>IF(CV95="","",CU95)</f>
        <v> </v>
      </c>
      <c r="CW96" s="49" t="s">
        <v>361</v>
      </c>
      <c r="CX96" s="49"/>
      <c r="CY96" s="49" t="s">
        <v>362</v>
      </c>
      <c r="CZ96" s="49"/>
      <c r="DA96" s="180" t="str">
        <f>IF(DA95="","",CZ95)</f>
        <v> </v>
      </c>
      <c r="DB96" s="49" t="s">
        <v>361</v>
      </c>
      <c r="DC96" s="49"/>
      <c r="DD96" s="49" t="s">
        <v>362</v>
      </c>
      <c r="DE96" s="49"/>
      <c r="DF96" s="49"/>
      <c r="DG96" s="49"/>
      <c r="DH96" s="49"/>
    </row>
    <row r="97" ht="13.5" customHeight="1">
      <c r="A97" s="54"/>
      <c r="B97" s="187">
        <v>46.0</v>
      </c>
      <c r="C97" s="188" t="str">
        <f>(VLOOKUP($B97,'Пр.взв'!$D$6:$J$63,2,0))</f>
        <v>СЕМЕНОВ Богдан</v>
      </c>
      <c r="D97" s="189" t="str">
        <f>(VLOOKUP($B97,'Пр.взв'!$D$6:$J$63,5,0))</f>
        <v>КМС</v>
      </c>
      <c r="E97" s="190" t="str">
        <f>(VLOOKUP($B97,'Пр.взв'!$D$6:$M$63,8,0))</f>
        <v>Пензенская</v>
      </c>
      <c r="F97" s="130">
        <f>B99</f>
        <v>47</v>
      </c>
      <c r="G97" s="134"/>
      <c r="H97" s="132">
        <v>48.0</v>
      </c>
      <c r="I97" s="136"/>
      <c r="J97" s="133" t="str">
        <f>IF(H97="Х","Х",IF($AC97&lt;6," ","Х"))</f>
        <v> </v>
      </c>
      <c r="K97" s="134"/>
      <c r="L97" s="133" t="str">
        <f>IF(J97="Х","Х",IF(K97&lt;3," ",IF($AC97&lt;6," ","Х")))</f>
        <v> </v>
      </c>
      <c r="M97" s="134"/>
      <c r="N97" s="133" t="str">
        <f>IF(L97="Х","Х",IF(M97&lt;3," ",IF($AC97&lt;6," ","Х")))</f>
        <v> </v>
      </c>
      <c r="O97" s="134"/>
      <c r="P97" s="133" t="str">
        <f>IF(N97="Х","Х",IF(O97&lt;3," ",IF($AC97&lt;6," ","Х")))</f>
        <v> </v>
      </c>
      <c r="Q97" s="134"/>
      <c r="R97" s="133" t="str">
        <f>IF(P97="Х","Х",IF(Q97&lt;3," ",IF($AC97&lt;6," ","Х")))</f>
        <v> </v>
      </c>
      <c r="S97" s="134"/>
      <c r="T97" s="133" t="str">
        <f>IF(R97="Х","Х",IF(S97&lt;3," ",IF($AC97&lt;6," ","Х")))</f>
        <v> </v>
      </c>
      <c r="U97" s="135"/>
      <c r="V97" s="133" t="str">
        <f>IF(T97="Х","Х",IF(U97&lt;3," ",IF($AC97&lt;6," ","Х")))</f>
        <v> </v>
      </c>
      <c r="W97" s="135"/>
      <c r="X97" s="133" t="str">
        <f>IF(V97="А1",$AZ$7,IF(V97="Б2",$AZ$6,IF(V97="Б1",$BA$7,IF(V97="А2",$BA$6,IF(V97="Х","Х",IF(V97&lt;6," "," "))))))</f>
        <v> </v>
      </c>
      <c r="Y97" s="136"/>
      <c r="Z97" s="133" t="str">
        <f>IF(V97="Х","Х",IF(ISBLANK(Y97),"",IF(Y97&gt;2.5," ",IF(B97=BB$6,BB$7,BB$6))))</f>
        <v/>
      </c>
      <c r="AA97" s="136"/>
      <c r="AB97" s="240" t="str">
        <f>IF(H97="Х",F$5,IF(J97="Х",H$5,IF(L97="Х",J$5,IF(N97="Х",L$5,IF(P97="Х",N$5,IF(R97="Х",P$5,IF(T97="Х",R$5,IF(X97="Х",T$5,""))))))))</f>
        <v/>
      </c>
      <c r="AC97" s="138">
        <f>SUM(G97+I97+K97+M97+O97+Q97+S97+U97+Y97+AA97)</f>
        <v>0</v>
      </c>
      <c r="AD97" s="241" t="str">
        <f>AF97</f>
        <v>1-54</v>
      </c>
      <c r="AE97" s="140" t="str">
        <f>AD97</f>
        <v>1-54</v>
      </c>
      <c r="AF97" s="141" t="str">
        <f>COUNTIF(AG$6:AG$148,"&gt;"&amp;AG$6:AG$148)+1&amp;REPT("-"&amp;COUNTIF(AG$6:AG$148,"&gt;="&amp;AG$6:AG$148),COUNTIF(AG$6:AG$148,AG97)&gt;1)</f>
        <v>1-54</v>
      </c>
      <c r="AG97" s="142">
        <f>(AR97*100)+(AP97*10)-AC97</f>
        <v>1280</v>
      </c>
      <c r="AH97" s="143" t="str">
        <f>IF(OR(F97="Х",F97="св")," ",IF(AND(G97&gt;=0,G97&lt;3),"1"," "))</f>
        <v>1</v>
      </c>
      <c r="AI97" s="90" t="str">
        <f>IF(OR(H97="Х",H97="св")," ",IF(AND(I97&gt;=0,I97&lt;3),"1"," "))</f>
        <v>1</v>
      </c>
      <c r="AJ97" s="90" t="str">
        <f>IF(OR(J97="Х",J97="св")," ",IF(AND(K97&gt;=0,K97&lt;3),"1"," "))</f>
        <v>1</v>
      </c>
      <c r="AK97" s="90" t="str">
        <f>IF(OR(L97="Х",L97="св")," ",IF(AND(M97&gt;=0,M97&lt;3),"1"," "))</f>
        <v>1</v>
      </c>
      <c r="AL97" s="90" t="str">
        <f>IF(OR(N97="Х",N97="св")," ",IF(AND(O97&gt;=0,O97&lt;3),"1"," "))</f>
        <v>1</v>
      </c>
      <c r="AM97" s="90" t="str">
        <f>IF(OR(P97="Х",P97="св")," ",IF(AND(Q97&gt;=0,Q97&lt;3),"1"," "))</f>
        <v>1</v>
      </c>
      <c r="AN97" s="90" t="str">
        <f>IF(OR(R97="Х",R97="св")," ",IF(AND(S97&gt;=0,S97&lt;3),"1"," "))</f>
        <v>1</v>
      </c>
      <c r="AO97" s="90" t="str">
        <f>IF(OR(T97="Х",T97="св")," ",IF(AND(U97&gt;=0,U97&lt;3),"1"," "))</f>
        <v>1</v>
      </c>
      <c r="AP97" s="90">
        <f>COUNTIF(AH97:AO98,1)</f>
        <v>8</v>
      </c>
      <c r="AQ97" s="90">
        <f>AG97-AC97</f>
        <v>1280</v>
      </c>
      <c r="AR97" s="144">
        <f>IF(F97=0,0,IF(F97="Х",1,IF(H97="Х",2,IF(J97="Х",3,IF(L97="Х",4,IF(N97="Х",5,IF(P97="Х",6,IF(R97="Х",7,IF(T97="Х",8,IF(V97="Х",9,IF(Y97&gt;2.5,10,IF(AA97&gt;2.5,11,IF(AA97&gt;=0,12,IF(AA97=" ",0,))))))))))))))</f>
        <v>12</v>
      </c>
      <c r="AS97" s="90" t="str">
        <f>COUNTIF(AG$6:AG$134,"&gt;"&amp;AG$6:AG$134)+1&amp;REPT("-"&amp;COUNTIF(AG$6:AG$134,"&gt;="&amp;AG$6:AG$134),COUNTIF(AG$6:AG$134,AG97)&gt;1)</f>
        <v>1-54</v>
      </c>
      <c r="AT97" s="143" t="str">
        <f t="shared" ref="AT97:AW97" si="51">COUNTIF(AU$6:AU$134,"&gt;"&amp;AU$6:AU$134)+1&amp;REPT("-"&amp;COUNTIF(AU$6:AU$134,"&gt;="&amp;AU$6:AU$134),COUNTIF(AU$6:AU$134,AU97)&gt;1)</f>
        <v>1-64</v>
      </c>
      <c r="AU97" s="143" t="str">
        <f t="shared" si="51"/>
        <v>1-0</v>
      </c>
      <c r="AV97" s="143" t="str">
        <f t="shared" si="51"/>
        <v>1</v>
      </c>
      <c r="AW97" s="143" t="str">
        <f t="shared" si="51"/>
        <v>19</v>
      </c>
      <c r="AX97" s="145">
        <f>IF(X97="Х","Х",IF(Y97&lt;3,B97,"Х"))</f>
        <v>46</v>
      </c>
      <c r="AY97" s="146"/>
      <c r="AZ97" s="146"/>
      <c r="BA97" s="146"/>
      <c r="BB97" s="146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195">
        <v>46.0</v>
      </c>
      <c r="BN97" s="196">
        <v>47.0</v>
      </c>
      <c r="BO97" s="153">
        <f>IF(BM97&lt;BN97,BM97,"")</f>
        <v>46</v>
      </c>
      <c r="BP97" s="196">
        <v>46.0</v>
      </c>
      <c r="BQ97" s="197"/>
      <c r="BR97" s="198">
        <v>46.0</v>
      </c>
      <c r="BS97" s="196">
        <v>48.0</v>
      </c>
      <c r="BT97" s="175">
        <f>IF(BR97&lt;BS97,BR97,"")</f>
        <v>46</v>
      </c>
      <c r="BU97" s="196">
        <v>46.0</v>
      </c>
      <c r="BV97" s="196"/>
      <c r="BW97" s="199">
        <v>46.0</v>
      </c>
      <c r="BX97" s="74" t="s">
        <v>361</v>
      </c>
      <c r="BY97" s="160">
        <f t="array" ref="BY97">IF(BW97&lt;BX97,BW97,"")</f>
        <v>46</v>
      </c>
      <c r="BZ97" s="160">
        <f t="shared" si="34"/>
        <v>46</v>
      </c>
      <c r="CA97" s="74"/>
      <c r="CB97" s="74" t="str">
        <f t="shared" si="35"/>
        <v>св</v>
      </c>
      <c r="CC97" s="200"/>
      <c r="CD97" s="243"/>
      <c r="CE97" s="200">
        <v>46.0</v>
      </c>
      <c r="CF97" s="25" t="s">
        <v>361</v>
      </c>
      <c r="CG97" s="153">
        <f t="array" ref="CG97">IF(CE97&lt;CF97,CE97,"")</f>
        <v>46</v>
      </c>
      <c r="CH97" s="74">
        <v>46.0</v>
      </c>
      <c r="CI97" s="182"/>
      <c r="CJ97" s="93">
        <v>46.0</v>
      </c>
      <c r="CK97" s="233" t="s">
        <v>361</v>
      </c>
      <c r="CL97" s="153">
        <f t="array" ref="CL97">IF(CJ97&lt;CK97,CJ97,"")</f>
        <v>46</v>
      </c>
      <c r="CM97" s="49">
        <v>46.0</v>
      </c>
      <c r="CN97" s="49"/>
      <c r="CO97" s="74">
        <v>46.0</v>
      </c>
      <c r="CP97" s="200" t="s">
        <v>361</v>
      </c>
      <c r="CQ97" s="153">
        <f t="array" ref="CQ97">IF(CO97&lt;CP97,CO97,"")</f>
        <v>46</v>
      </c>
      <c r="CR97" s="93">
        <v>46.0</v>
      </c>
      <c r="CS97" s="234"/>
      <c r="CT97" s="200">
        <v>46.0</v>
      </c>
      <c r="CU97" s="74" t="s">
        <v>361</v>
      </c>
      <c r="CV97" s="153">
        <f t="array" ref="CV97">IF(CT97&lt;CU97,CT97,"")</f>
        <v>46</v>
      </c>
      <c r="CW97" s="49">
        <v>46.0</v>
      </c>
      <c r="CX97" s="49"/>
      <c r="CY97" s="49">
        <v>46.0</v>
      </c>
      <c r="CZ97" s="49" t="s">
        <v>361</v>
      </c>
      <c r="DA97" s="153">
        <f t="array" ref="DA97">IF(CY97&lt;CZ97,CY97,"")</f>
        <v>46</v>
      </c>
      <c r="DB97" s="49">
        <v>46.0</v>
      </c>
      <c r="DC97" s="49"/>
      <c r="DD97" s="49">
        <v>46.0</v>
      </c>
      <c r="DE97" s="49"/>
      <c r="DF97" s="49"/>
      <c r="DG97" s="49"/>
      <c r="DH97" s="49"/>
    </row>
    <row r="98" ht="13.5" customHeight="1">
      <c r="A98" s="54"/>
      <c r="B98" s="165"/>
      <c r="C98" s="165"/>
      <c r="D98" s="165"/>
      <c r="E98" s="165"/>
      <c r="F98" s="166"/>
      <c r="G98" s="167"/>
      <c r="H98" s="168"/>
      <c r="I98" s="167"/>
      <c r="J98" s="168"/>
      <c r="K98" s="167"/>
      <c r="L98" s="168"/>
      <c r="M98" s="167"/>
      <c r="N98" s="168"/>
      <c r="O98" s="167"/>
      <c r="P98" s="168"/>
      <c r="Q98" s="167"/>
      <c r="R98" s="168"/>
      <c r="S98" s="167"/>
      <c r="T98" s="168"/>
      <c r="U98" s="169"/>
      <c r="V98" s="168"/>
      <c r="W98" s="169"/>
      <c r="X98" s="168"/>
      <c r="Y98" s="167"/>
      <c r="Z98" s="168"/>
      <c r="AA98" s="167"/>
      <c r="AB98" s="166"/>
      <c r="AC98" s="165"/>
      <c r="AD98" s="168"/>
      <c r="AE98" s="170"/>
      <c r="AF98" s="171"/>
      <c r="AG98" s="113"/>
      <c r="AH98" s="113"/>
      <c r="AI98" s="113"/>
      <c r="AJ98" s="113"/>
      <c r="AK98" s="113"/>
      <c r="AL98" s="113"/>
      <c r="AM98" s="113"/>
      <c r="AN98" s="113"/>
      <c r="AO98" s="113"/>
      <c r="AP98" s="113"/>
      <c r="AQ98" s="113"/>
      <c r="AR98" s="113"/>
      <c r="AS98" s="113"/>
      <c r="AT98" s="113"/>
      <c r="AU98" s="113"/>
      <c r="AV98" s="113"/>
      <c r="AW98" s="113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178"/>
      <c r="BO98" s="175">
        <f>IF(BO97="","",BN97)</f>
        <v>47</v>
      </c>
      <c r="BP98" s="175">
        <v>47.0</v>
      </c>
      <c r="BQ98" s="197"/>
      <c r="BT98" s="175">
        <f>IF(BT97="","",BS97)</f>
        <v>48</v>
      </c>
      <c r="BU98" s="175">
        <v>48.0</v>
      </c>
      <c r="BV98" s="196"/>
      <c r="BW98" s="178"/>
      <c r="BY98" s="160" t="str">
        <f>IF(BY97="","",BX97)</f>
        <v> </v>
      </c>
      <c r="BZ98" s="160" t="str">
        <f t="shared" si="34"/>
        <v> </v>
      </c>
      <c r="CA98" s="200"/>
      <c r="CB98" s="74" t="str">
        <f t="shared" si="35"/>
        <v>св</v>
      </c>
      <c r="CC98" s="200"/>
      <c r="CD98" s="243"/>
      <c r="CG98" s="180" t="str">
        <f>IF(CG97="","",CF97)</f>
        <v> </v>
      </c>
      <c r="CH98" s="200" t="s">
        <v>361</v>
      </c>
      <c r="CI98" s="182"/>
      <c r="CJ98" s="49" t="s">
        <v>362</v>
      </c>
      <c r="CK98" s="235"/>
      <c r="CL98" s="180" t="str">
        <f>IF(CL97="","",CK97)</f>
        <v> </v>
      </c>
      <c r="CM98" s="49" t="s">
        <v>361</v>
      </c>
      <c r="CN98" s="49"/>
      <c r="CQ98" s="180" t="str">
        <f>IF(CQ97="","",CP97)</f>
        <v> </v>
      </c>
      <c r="CR98" s="49" t="s">
        <v>361</v>
      </c>
      <c r="CS98" s="234"/>
      <c r="CV98" s="180" t="str">
        <f>IF(CV97="","",CU97)</f>
        <v> </v>
      </c>
      <c r="CW98" s="49" t="s">
        <v>361</v>
      </c>
      <c r="CX98" s="49"/>
      <c r="CY98" s="49" t="s">
        <v>362</v>
      </c>
      <c r="CZ98" s="49"/>
      <c r="DA98" s="180" t="str">
        <f>IF(DA97="","",CZ97)</f>
        <v> </v>
      </c>
      <c r="DB98" s="49" t="s">
        <v>361</v>
      </c>
      <c r="DC98" s="49"/>
      <c r="DD98" s="49" t="s">
        <v>362</v>
      </c>
      <c r="DE98" s="49"/>
      <c r="DF98" s="49"/>
      <c r="DG98" s="49"/>
      <c r="DH98" s="49"/>
    </row>
    <row r="99" ht="13.5" customHeight="1">
      <c r="A99" s="54"/>
      <c r="B99" s="187">
        <v>47.0</v>
      </c>
      <c r="C99" s="188" t="str">
        <f>(VLOOKUP($B99,'Пр.взв'!$D$6:$J$63,2,0))</f>
        <v>ПРАВЕДНИКОВ Илья</v>
      </c>
      <c r="D99" s="189" t="str">
        <f>(VLOOKUP($B99,'Пр.взв'!$D$6:$J$63,5,0))</f>
        <v>1р</v>
      </c>
      <c r="E99" s="190" t="str">
        <f>(VLOOKUP($B99,'Пр.взв'!$D$6:$M$63,8,0))</f>
        <v>Приморский</v>
      </c>
      <c r="F99" s="130">
        <f>B97</f>
        <v>46</v>
      </c>
      <c r="G99" s="255"/>
      <c r="H99" s="132">
        <v>49.0</v>
      </c>
      <c r="I99" s="255"/>
      <c r="J99" s="133" t="str">
        <f>IF(H99="Х","Х",IF($AC99&lt;6," ","Х"))</f>
        <v> </v>
      </c>
      <c r="K99" s="134"/>
      <c r="L99" s="133" t="str">
        <f>IF(J99="Х","Х",IF(K99&lt;3," ",IF($AC99&lt;6," ","Х")))</f>
        <v> </v>
      </c>
      <c r="M99" s="134"/>
      <c r="N99" s="133" t="str">
        <f>IF(L99="Х","Х",IF(M99&lt;3," ",IF($AC99&lt;6," ","Х")))</f>
        <v> </v>
      </c>
      <c r="O99" s="134"/>
      <c r="P99" s="133" t="str">
        <f>IF(N99="Х","Х",IF(O99&lt;3," ",IF($AC99&lt;6," ","Х")))</f>
        <v> </v>
      </c>
      <c r="Q99" s="134"/>
      <c r="R99" s="133" t="str">
        <f>IF(P99="Х","Х",IF(Q99&lt;3," ",IF($AC99&lt;6," ","Х")))</f>
        <v> </v>
      </c>
      <c r="S99" s="134"/>
      <c r="T99" s="133" t="str">
        <f>IF(R99="Х","Х",IF(S99&lt;3," ",IF($AC99&lt;6," ","Х")))</f>
        <v> </v>
      </c>
      <c r="U99" s="135"/>
      <c r="V99" s="133" t="str">
        <f>IF(T99="Х","Х",IF(U99&lt;3," ",IF($AC99&lt;6," ","Х")))</f>
        <v> </v>
      </c>
      <c r="W99" s="135"/>
      <c r="X99" s="133" t="str">
        <f>IF(V99="А1",$AZ$7,IF(V99="Б2",$AZ$6,IF(V99="Б1",$BA$7,IF(V99="А2",$BA$6,IF(V99="Х","Х",IF(V99&lt;6," "," "))))))</f>
        <v> </v>
      </c>
      <c r="Y99" s="136"/>
      <c r="Z99" s="133" t="str">
        <f>IF(V99="Х","Х",IF(ISBLANK(Y99),"",IF(Y99&gt;2.5," ",IF(B99=BB$6,BB$7,BB$6))))</f>
        <v/>
      </c>
      <c r="AA99" s="136"/>
      <c r="AB99" s="240" t="str">
        <f>IF(H99="Х",F$5,IF(J99="Х",H$5,IF(L99="Х",J$5,IF(N99="Х",L$5,IF(P99="Х",N$5,IF(R99="Х",P$5,IF(T99="Х",R$5,IF(X99="Х",T$5,""))))))))</f>
        <v/>
      </c>
      <c r="AC99" s="138">
        <f>SUM(G99+I99+K99+M99+O99+Q99+S99+U99+Y99+AA99)</f>
        <v>0</v>
      </c>
      <c r="AD99" s="241" t="str">
        <f>AF99</f>
        <v>1-54</v>
      </c>
      <c r="AE99" s="140" t="str">
        <f>AD99</f>
        <v>1-54</v>
      </c>
      <c r="AF99" s="141" t="str">
        <f>COUNTIF(AG$6:AG$148,"&gt;"&amp;AG$6:AG$148)+1&amp;REPT("-"&amp;COUNTIF(AG$6:AG$148,"&gt;="&amp;AG$6:AG$148),COUNTIF(AG$6:AG$148,AG99)&gt;1)</f>
        <v>1-54</v>
      </c>
      <c r="AG99" s="142">
        <f>(AR99*100)+(AP99*10)-AC99</f>
        <v>1280</v>
      </c>
      <c r="AH99" s="143" t="str">
        <f>IF(OR(F99="Х",F99="св")," ",IF(AND(G99&gt;=0,G99&lt;3),"1"," "))</f>
        <v>1</v>
      </c>
      <c r="AI99" s="90" t="str">
        <f>IF(OR(H99="Х",H99="св")," ",IF(AND(I99&gt;=0,I99&lt;3),"1"," "))</f>
        <v>1</v>
      </c>
      <c r="AJ99" s="90" t="str">
        <f>IF(OR(J99="Х",J99="св")," ",IF(AND(K99&gt;=0,K99&lt;3),"1"," "))</f>
        <v>1</v>
      </c>
      <c r="AK99" s="90" t="str">
        <f>IF(OR(L99="Х",L99="св")," ",IF(AND(M99&gt;=0,M99&lt;3),"1"," "))</f>
        <v>1</v>
      </c>
      <c r="AL99" s="90" t="str">
        <f>IF(OR(N99="Х",N99="св")," ",IF(AND(O99&gt;=0,O99&lt;3),"1"," "))</f>
        <v>1</v>
      </c>
      <c r="AM99" s="90" t="str">
        <f>IF(OR(P99="Х",P99="св")," ",IF(AND(Q99&gt;=0,Q99&lt;3),"1"," "))</f>
        <v>1</v>
      </c>
      <c r="AN99" s="90" t="str">
        <f>IF(OR(R99="Х",R99="св")," ",IF(AND(S99&gt;=0,S99&lt;3),"1"," "))</f>
        <v>1</v>
      </c>
      <c r="AO99" s="90" t="str">
        <f>IF(OR(T99="Х",T99="св")," ",IF(AND(U99&gt;=0,U99&lt;3),"1"," "))</f>
        <v>1</v>
      </c>
      <c r="AP99" s="90">
        <f>COUNTIF(AH99:AO100,1)</f>
        <v>8</v>
      </c>
      <c r="AQ99" s="90">
        <f>AG99-AC99</f>
        <v>1280</v>
      </c>
      <c r="AR99" s="144">
        <f>IF(F99=0,0,IF(F99="Х",1,IF(H99="Х",2,IF(J99="Х",3,IF(L99="Х",4,IF(N99="Х",5,IF(P99="Х",6,IF(R99="Х",7,IF(T99="Х",8,IF(V99="Х",9,IF(Y99&gt;2.5,10,IF(AA99&gt;2.5,11,IF(AA99&gt;=0,12,IF(AA99=" ",0,))))))))))))))</f>
        <v>12</v>
      </c>
      <c r="AS99" s="90" t="str">
        <f>COUNTIF(AG$6:AG$134,"&gt;"&amp;AG$6:AG$134)+1&amp;REPT("-"&amp;COUNTIF(AG$6:AG$134,"&gt;="&amp;AG$6:AG$134),COUNTIF(AG$6:AG$134,AG99)&gt;1)</f>
        <v>1-54</v>
      </c>
      <c r="AT99" s="143" t="str">
        <f t="shared" ref="AT99:AW99" si="52">COUNTIF(AU$6:AU$134,"&gt;"&amp;AU$6:AU$134)+1&amp;REPT("-"&amp;COUNTIF(AU$6:AU$134,"&gt;="&amp;AU$6:AU$134),COUNTIF(AU$6:AU$134,AU99)&gt;1)</f>
        <v>1-64</v>
      </c>
      <c r="AU99" s="143" t="str">
        <f t="shared" si="52"/>
        <v>1-0</v>
      </c>
      <c r="AV99" s="143" t="str">
        <f t="shared" si="52"/>
        <v>1</v>
      </c>
      <c r="AW99" s="143" t="str">
        <f t="shared" si="52"/>
        <v>18</v>
      </c>
      <c r="AX99" s="145">
        <f>IF(X99="Х","Х",IF(Y99&lt;3,B99,"Х"))</f>
        <v>47</v>
      </c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195">
        <v>47.0</v>
      </c>
      <c r="BN99" s="196">
        <v>46.0</v>
      </c>
      <c r="BO99" s="153" t="str">
        <f>IF(BM99&lt;BN99,BM99,"")</f>
        <v/>
      </c>
      <c r="BP99" s="196" t="s">
        <v>362</v>
      </c>
      <c r="BQ99" s="197"/>
      <c r="BR99" s="198">
        <v>47.0</v>
      </c>
      <c r="BS99" s="196">
        <v>49.0</v>
      </c>
      <c r="BT99" s="175">
        <f>IF(BR99&lt;BS99,BR99,"")</f>
        <v>47</v>
      </c>
      <c r="BU99" s="196">
        <v>47.0</v>
      </c>
      <c r="BV99" s="196"/>
      <c r="BW99" s="199">
        <v>47.0</v>
      </c>
      <c r="BX99" s="74" t="s">
        <v>361</v>
      </c>
      <c r="BY99" s="160">
        <f t="array" ref="BY99">IF(BW99&lt;BX99,BW99,"")</f>
        <v>47</v>
      </c>
      <c r="BZ99" s="160">
        <f t="shared" si="34"/>
        <v>47</v>
      </c>
      <c r="CA99" s="74"/>
      <c r="CB99" s="74" t="str">
        <f t="shared" si="35"/>
        <v>св</v>
      </c>
      <c r="CC99" s="200"/>
      <c r="CD99" s="243"/>
      <c r="CE99" s="200">
        <v>47.0</v>
      </c>
      <c r="CF99" s="25" t="s">
        <v>361</v>
      </c>
      <c r="CG99" s="153">
        <f t="array" ref="CG99">IF(CE99&lt;CF99,CE99,"")</f>
        <v>47</v>
      </c>
      <c r="CH99" s="74">
        <v>47.0</v>
      </c>
      <c r="CI99" s="182"/>
      <c r="CJ99" s="93">
        <v>47.0</v>
      </c>
      <c r="CK99" s="233" t="s">
        <v>361</v>
      </c>
      <c r="CL99" s="153">
        <f t="array" ref="CL99">IF(CJ99&lt;CK99,CJ99,"")</f>
        <v>47</v>
      </c>
      <c r="CM99" s="49">
        <v>47.0</v>
      </c>
      <c r="CN99" s="49"/>
      <c r="CO99" s="74">
        <v>47.0</v>
      </c>
      <c r="CP99" s="200" t="s">
        <v>361</v>
      </c>
      <c r="CQ99" s="153">
        <f t="array" ref="CQ99">IF(CO99&lt;CP99,CO99,"")</f>
        <v>47</v>
      </c>
      <c r="CR99" s="93">
        <v>47.0</v>
      </c>
      <c r="CS99" s="234"/>
      <c r="CT99" s="200">
        <v>47.0</v>
      </c>
      <c r="CU99" s="74" t="s">
        <v>361</v>
      </c>
      <c r="CV99" s="153">
        <f t="array" ref="CV99">IF(CT99&lt;CU99,CT99,"")</f>
        <v>47</v>
      </c>
      <c r="CW99" s="49">
        <v>47.0</v>
      </c>
      <c r="CX99" s="49"/>
      <c r="CY99" s="49">
        <v>47.0</v>
      </c>
      <c r="CZ99" s="49" t="s">
        <v>361</v>
      </c>
      <c r="DA99" s="153">
        <f t="array" ref="DA99">IF(CY99&lt;CZ99,CY99,"")</f>
        <v>47</v>
      </c>
      <c r="DB99" s="49">
        <v>47.0</v>
      </c>
      <c r="DC99" s="49"/>
      <c r="DD99" s="49">
        <v>47.0</v>
      </c>
      <c r="DE99" s="49"/>
      <c r="DF99" s="49"/>
      <c r="DG99" s="49"/>
      <c r="DH99" s="49"/>
    </row>
    <row r="100" ht="13.5" customHeight="1">
      <c r="A100" s="54"/>
      <c r="B100" s="165"/>
      <c r="C100" s="165"/>
      <c r="D100" s="165"/>
      <c r="E100" s="165"/>
      <c r="F100" s="166"/>
      <c r="G100" s="167"/>
      <c r="H100" s="168"/>
      <c r="I100" s="167"/>
      <c r="J100" s="168"/>
      <c r="K100" s="167"/>
      <c r="L100" s="168"/>
      <c r="M100" s="167"/>
      <c r="N100" s="168"/>
      <c r="O100" s="167"/>
      <c r="P100" s="168"/>
      <c r="Q100" s="167"/>
      <c r="R100" s="168"/>
      <c r="S100" s="167"/>
      <c r="T100" s="168"/>
      <c r="U100" s="169"/>
      <c r="V100" s="168"/>
      <c r="W100" s="169"/>
      <c r="X100" s="168"/>
      <c r="Y100" s="167"/>
      <c r="Z100" s="168"/>
      <c r="AA100" s="167"/>
      <c r="AB100" s="166"/>
      <c r="AC100" s="165"/>
      <c r="AD100" s="168"/>
      <c r="AE100" s="170"/>
      <c r="AF100" s="171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178"/>
      <c r="BO100" s="175" t="str">
        <f>IF(BO99="","",BN99)</f>
        <v/>
      </c>
      <c r="BP100" s="175" t="s">
        <v>362</v>
      </c>
      <c r="BQ100" s="197"/>
      <c r="BT100" s="175">
        <f>IF(BT99="","",BS99)</f>
        <v>49</v>
      </c>
      <c r="BU100" s="175">
        <v>49.0</v>
      </c>
      <c r="BV100" s="196"/>
      <c r="BW100" s="178"/>
      <c r="BY100" s="160" t="str">
        <f>IF(BY99="","",BX99)</f>
        <v> </v>
      </c>
      <c r="BZ100" s="160" t="str">
        <f t="shared" si="34"/>
        <v> </v>
      </c>
      <c r="CA100" s="200"/>
      <c r="CB100" s="74" t="str">
        <f t="shared" si="35"/>
        <v>св</v>
      </c>
      <c r="CC100" s="200"/>
      <c r="CD100" s="243"/>
      <c r="CG100" s="180" t="str">
        <f>IF(CG99="","",CF99)</f>
        <v> </v>
      </c>
      <c r="CH100" s="200" t="s">
        <v>361</v>
      </c>
      <c r="CI100" s="182"/>
      <c r="CJ100" s="49" t="s">
        <v>362</v>
      </c>
      <c r="CK100" s="235"/>
      <c r="CL100" s="180" t="str">
        <f>IF(CL99="","",CK99)</f>
        <v> </v>
      </c>
      <c r="CM100" s="49" t="s">
        <v>361</v>
      </c>
      <c r="CN100" s="49"/>
      <c r="CQ100" s="180" t="str">
        <f>IF(CQ99="","",CP99)</f>
        <v> </v>
      </c>
      <c r="CR100" s="49" t="s">
        <v>361</v>
      </c>
      <c r="CS100" s="234"/>
      <c r="CV100" s="180" t="str">
        <f>IF(CV99="","",CU99)</f>
        <v> </v>
      </c>
      <c r="CW100" s="49" t="s">
        <v>361</v>
      </c>
      <c r="CX100" s="49"/>
      <c r="CY100" s="49" t="s">
        <v>362</v>
      </c>
      <c r="CZ100" s="49"/>
      <c r="DA100" s="180" t="str">
        <f>IF(DA99="","",CZ99)</f>
        <v> </v>
      </c>
      <c r="DB100" s="49" t="s">
        <v>361</v>
      </c>
      <c r="DC100" s="49"/>
      <c r="DD100" s="49" t="s">
        <v>362</v>
      </c>
      <c r="DE100" s="49"/>
      <c r="DF100" s="49"/>
      <c r="DG100" s="49"/>
      <c r="DH100" s="49"/>
    </row>
    <row r="101" ht="13.5" customHeight="1">
      <c r="A101" s="54"/>
      <c r="B101" s="187">
        <v>48.0</v>
      </c>
      <c r="C101" s="188" t="str">
        <f>(VLOOKUP($B101,'Пр.взв'!$D$6:$J$63,2,0))</f>
        <v>ТУКСУМБАЕВ Артём</v>
      </c>
      <c r="D101" s="189" t="str">
        <f>(VLOOKUP($B101,'Пр.взв'!$D$6:$J$63,5,0))</f>
        <v>КМС</v>
      </c>
      <c r="E101" s="190" t="str">
        <f>(VLOOKUP($B101,'Пр.взв'!$D$6:$M$63,8,0))</f>
        <v>Алтайский</v>
      </c>
      <c r="F101" s="130">
        <f>B103</f>
        <v>49</v>
      </c>
      <c r="G101" s="134"/>
      <c r="H101" s="132">
        <v>46.0</v>
      </c>
      <c r="I101" s="136"/>
      <c r="J101" s="133" t="str">
        <f>IF(H101="Х","Х",IF($AC101&lt;6," ","Х"))</f>
        <v> </v>
      </c>
      <c r="K101" s="134"/>
      <c r="L101" s="133" t="str">
        <f>IF(J101="Х","Х",IF(K101&lt;3," ",IF($AC101&lt;6," ","Х")))</f>
        <v> </v>
      </c>
      <c r="M101" s="134"/>
      <c r="N101" s="133" t="str">
        <f>IF(L101="Х","Х",IF(M101&lt;3," ",IF($AC101&lt;6," ","Х")))</f>
        <v> </v>
      </c>
      <c r="O101" s="134"/>
      <c r="P101" s="133" t="str">
        <f>IF(N101="Х","Х",IF(O101&lt;3," ",IF($AC101&lt;6," ","Х")))</f>
        <v> </v>
      </c>
      <c r="Q101" s="134"/>
      <c r="R101" s="133" t="str">
        <f>IF(P101="Х","Х",IF(Q101&lt;3," ",IF($AC101&lt;6," ","Х")))</f>
        <v> </v>
      </c>
      <c r="S101" s="134"/>
      <c r="T101" s="133" t="str">
        <f>IF(R101="Х","Х",IF(S101&lt;3," ",IF($AC101&lt;6," ","Х")))</f>
        <v> </v>
      </c>
      <c r="U101" s="135"/>
      <c r="V101" s="133" t="str">
        <f>IF(T101="Х","Х",IF(U101&lt;3," ",IF($AC101&lt;6," ","Х")))</f>
        <v> </v>
      </c>
      <c r="W101" s="135"/>
      <c r="X101" s="133" t="str">
        <f>IF(V101="А1",$AZ$7,IF(V101="Б2",$AZ$6,IF(V101="Б1",$BA$7,IF(V101="А2",$BA$6,IF(V101="Х","Х",IF(V101&lt;6," "," "))))))</f>
        <v> </v>
      </c>
      <c r="Y101" s="136"/>
      <c r="Z101" s="133" t="str">
        <f>IF(V101="Х","Х",IF(ISBLANK(Y101),"",IF(Y101&gt;2.5," ",IF(B101=BB$6,BB$7,BB$6))))</f>
        <v/>
      </c>
      <c r="AA101" s="136"/>
      <c r="AB101" s="240" t="str">
        <f>IF(H101="Х",F$5,IF(J101="Х",H$5,IF(L101="Х",J$5,IF(N101="Х",L$5,IF(P101="Х",N$5,IF(R101="Х",P$5,IF(T101="Х",R$5,IF(X101="Х",T$5,""))))))))</f>
        <v/>
      </c>
      <c r="AC101" s="138">
        <f>SUM(G101+I101+K101+M101+O101+Q101+S101+U101+Y101+AA101)</f>
        <v>0</v>
      </c>
      <c r="AD101" s="241" t="str">
        <f>AF101</f>
        <v>1-54</v>
      </c>
      <c r="AE101" s="140" t="str">
        <f>AD101</f>
        <v>1-54</v>
      </c>
      <c r="AF101" s="141" t="str">
        <f>COUNTIF(AG$6:AG$148,"&gt;"&amp;AG$6:AG$148)+1&amp;REPT("-"&amp;COUNTIF(AG$6:AG$148,"&gt;="&amp;AG$6:AG$148),COUNTIF(AG$6:AG$148,AG101)&gt;1)</f>
        <v>1-54</v>
      </c>
      <c r="AG101" s="142">
        <f>(AR101*100)+(AP101*10)-AC101</f>
        <v>1280</v>
      </c>
      <c r="AH101" s="143" t="str">
        <f>IF(OR(F101="Х",F101="св")," ",IF(AND(G101&gt;=0,G101&lt;3),"1"," "))</f>
        <v>1</v>
      </c>
      <c r="AI101" s="90" t="str">
        <f>IF(OR(H101="Х",H101="св")," ",IF(AND(I101&gt;=0,I101&lt;3),"1"," "))</f>
        <v>1</v>
      </c>
      <c r="AJ101" s="90" t="str">
        <f>IF(OR(J101="Х",J101="св")," ",IF(AND(K101&gt;=0,K101&lt;3),"1"," "))</f>
        <v>1</v>
      </c>
      <c r="AK101" s="90" t="str">
        <f>IF(OR(L101="Х",L101="св")," ",IF(AND(M101&gt;=0,M101&lt;3),"1"," "))</f>
        <v>1</v>
      </c>
      <c r="AL101" s="90" t="str">
        <f>IF(OR(N101="Х",N101="св")," ",IF(AND(O101&gt;=0,O101&lt;3),"1"," "))</f>
        <v>1</v>
      </c>
      <c r="AM101" s="90" t="str">
        <f>IF(OR(P101="Х",P101="св")," ",IF(AND(Q101&gt;=0,Q101&lt;3),"1"," "))</f>
        <v>1</v>
      </c>
      <c r="AN101" s="90" t="str">
        <f>IF(OR(R101="Х",R101="св")," ",IF(AND(S101&gt;=0,S101&lt;3),"1"," "))</f>
        <v>1</v>
      </c>
      <c r="AO101" s="90" t="str">
        <f>IF(OR(T101="Х",T101="св")," ",IF(AND(U101&gt;=0,U101&lt;3),"1"," "))</f>
        <v>1</v>
      </c>
      <c r="AP101" s="90">
        <f>COUNTIF(AH101:AO102,1)</f>
        <v>8</v>
      </c>
      <c r="AQ101" s="90">
        <f>AG101-AC101</f>
        <v>1280</v>
      </c>
      <c r="AR101" s="144">
        <f>IF(F101=0,0,IF(F101="Х",1,IF(H101="Х",2,IF(J101="Х",3,IF(L101="Х",4,IF(N101="Х",5,IF(P101="Х",6,IF(R101="Х",7,IF(T101="Х",8,IF(V101="Х",9,IF(Y101&gt;2.5,10,IF(AA101&gt;2.5,11,IF(AA101&gt;=0,12,IF(AA101=" ",0,))))))))))))))</f>
        <v>12</v>
      </c>
      <c r="AS101" s="90" t="str">
        <f>COUNTIF(AG$6:AG$134,"&gt;"&amp;AG$6:AG$134)+1&amp;REPT("-"&amp;COUNTIF(AG$6:AG$134,"&gt;="&amp;AG$6:AG$134),COUNTIF(AG$6:AG$134,AG101)&gt;1)</f>
        <v>1-54</v>
      </c>
      <c r="AT101" s="143" t="str">
        <f t="shared" ref="AT101:AW101" si="53">COUNTIF(AU$6:AU$134,"&gt;"&amp;AU$6:AU$134)+1&amp;REPT("-"&amp;COUNTIF(AU$6:AU$134,"&gt;="&amp;AU$6:AU$134),COUNTIF(AU$6:AU$134,AU101)&gt;1)</f>
        <v>1-64</v>
      </c>
      <c r="AU101" s="143" t="str">
        <f t="shared" si="53"/>
        <v>1-0</v>
      </c>
      <c r="AV101" s="143" t="str">
        <f t="shared" si="53"/>
        <v>1</v>
      </c>
      <c r="AW101" s="143" t="str">
        <f t="shared" si="53"/>
        <v>17</v>
      </c>
      <c r="AX101" s="145">
        <f>IF(X101="Х","Х",IF(Y101&lt;3,B101,"Х"))</f>
        <v>48</v>
      </c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195">
        <v>48.0</v>
      </c>
      <c r="BN101" s="196">
        <v>49.0</v>
      </c>
      <c r="BO101" s="153">
        <f>IF(BM101&lt;BN101,BM101,"")</f>
        <v>48</v>
      </c>
      <c r="BP101" s="196">
        <v>48.0</v>
      </c>
      <c r="BQ101" s="197"/>
      <c r="BR101" s="198">
        <v>48.0</v>
      </c>
      <c r="BS101" s="196">
        <v>46.0</v>
      </c>
      <c r="BT101" s="175" t="str">
        <f>IF(BR101&lt;BS101,BR101,"")</f>
        <v/>
      </c>
      <c r="BU101" s="196" t="s">
        <v>362</v>
      </c>
      <c r="BV101" s="196"/>
      <c r="BW101" s="199">
        <v>48.0</v>
      </c>
      <c r="BX101" s="74" t="s">
        <v>361</v>
      </c>
      <c r="BY101" s="160">
        <f t="array" ref="BY101">IF(BW101&lt;BX101,BW101,"")</f>
        <v>48</v>
      </c>
      <c r="BZ101" s="160">
        <f t="shared" si="34"/>
        <v>48</v>
      </c>
      <c r="CA101" s="74"/>
      <c r="CB101" s="74" t="str">
        <f t="shared" si="35"/>
        <v>св</v>
      </c>
      <c r="CC101" s="200"/>
      <c r="CD101" s="243"/>
      <c r="CE101" s="200">
        <v>48.0</v>
      </c>
      <c r="CF101" s="25" t="s">
        <v>361</v>
      </c>
      <c r="CG101" s="153">
        <f t="array" ref="CG101">IF(CE101&lt;CF101,CE101,"")</f>
        <v>48</v>
      </c>
      <c r="CH101" s="74">
        <v>48.0</v>
      </c>
      <c r="CI101" s="182"/>
      <c r="CJ101" s="93">
        <v>48.0</v>
      </c>
      <c r="CK101" s="233" t="s">
        <v>361</v>
      </c>
      <c r="CL101" s="153">
        <f t="array" ref="CL101">IF(CJ101&lt;CK101,CJ101,"")</f>
        <v>48</v>
      </c>
      <c r="CM101" s="49">
        <v>48.0</v>
      </c>
      <c r="CN101" s="49"/>
      <c r="CO101" s="74">
        <v>48.0</v>
      </c>
      <c r="CP101" s="200" t="s">
        <v>361</v>
      </c>
      <c r="CQ101" s="153">
        <f t="array" ref="CQ101">IF(CO101&lt;CP101,CO101,"")</f>
        <v>48</v>
      </c>
      <c r="CR101" s="93">
        <v>48.0</v>
      </c>
      <c r="CS101" s="234"/>
      <c r="CT101" s="200">
        <v>48.0</v>
      </c>
      <c r="CU101" s="74" t="s">
        <v>361</v>
      </c>
      <c r="CV101" s="153">
        <f t="array" ref="CV101">IF(CT101&lt;CU101,CT101,"")</f>
        <v>48</v>
      </c>
      <c r="CW101" s="49">
        <v>48.0</v>
      </c>
      <c r="CX101" s="49"/>
      <c r="CY101" s="49">
        <v>48.0</v>
      </c>
      <c r="CZ101" s="49" t="s">
        <v>361</v>
      </c>
      <c r="DA101" s="153">
        <f t="array" ref="DA101">IF(CY101&lt;CZ101,CY101,"")</f>
        <v>48</v>
      </c>
      <c r="DB101" s="49">
        <v>48.0</v>
      </c>
      <c r="DC101" s="49"/>
      <c r="DD101" s="49">
        <v>48.0</v>
      </c>
      <c r="DE101" s="49"/>
      <c r="DF101" s="49"/>
      <c r="DG101" s="49"/>
      <c r="DH101" s="49"/>
    </row>
    <row r="102" ht="13.5" customHeight="1">
      <c r="A102" s="54"/>
      <c r="B102" s="165"/>
      <c r="C102" s="165"/>
      <c r="D102" s="165"/>
      <c r="E102" s="165"/>
      <c r="F102" s="166"/>
      <c r="G102" s="167"/>
      <c r="H102" s="168"/>
      <c r="I102" s="167"/>
      <c r="J102" s="168"/>
      <c r="K102" s="167"/>
      <c r="L102" s="168"/>
      <c r="M102" s="167"/>
      <c r="N102" s="168"/>
      <c r="O102" s="167"/>
      <c r="P102" s="168"/>
      <c r="Q102" s="167"/>
      <c r="R102" s="168"/>
      <c r="S102" s="167"/>
      <c r="T102" s="168"/>
      <c r="U102" s="169"/>
      <c r="V102" s="168"/>
      <c r="W102" s="169"/>
      <c r="X102" s="168"/>
      <c r="Y102" s="167"/>
      <c r="Z102" s="168"/>
      <c r="AA102" s="167"/>
      <c r="AB102" s="166"/>
      <c r="AC102" s="165"/>
      <c r="AD102" s="168"/>
      <c r="AE102" s="170"/>
      <c r="AF102" s="171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178"/>
      <c r="BO102" s="175">
        <f>IF(BO101="","",BN101)</f>
        <v>49</v>
      </c>
      <c r="BP102" s="175">
        <v>49.0</v>
      </c>
      <c r="BQ102" s="197"/>
      <c r="BT102" s="175" t="str">
        <f>IF(BT101="","",BS101)</f>
        <v/>
      </c>
      <c r="BU102" s="175" t="s">
        <v>362</v>
      </c>
      <c r="BV102" s="196"/>
      <c r="BW102" s="178"/>
      <c r="BY102" s="160" t="str">
        <f>IF(BY101="","",BX101)</f>
        <v> </v>
      </c>
      <c r="BZ102" s="160" t="str">
        <f t="shared" si="34"/>
        <v> </v>
      </c>
      <c r="CA102" s="200"/>
      <c r="CB102" s="74" t="str">
        <f t="shared" si="35"/>
        <v>св</v>
      </c>
      <c r="CC102" s="200"/>
      <c r="CD102" s="243"/>
      <c r="CG102" s="180" t="str">
        <f>IF(CG101="","",CF101)</f>
        <v> </v>
      </c>
      <c r="CH102" s="200" t="s">
        <v>361</v>
      </c>
      <c r="CI102" s="182"/>
      <c r="CJ102" s="49" t="s">
        <v>362</v>
      </c>
      <c r="CK102" s="235"/>
      <c r="CL102" s="180" t="str">
        <f>IF(CL101="","",CK101)</f>
        <v> </v>
      </c>
      <c r="CM102" s="49" t="s">
        <v>361</v>
      </c>
      <c r="CN102" s="49"/>
      <c r="CQ102" s="180" t="str">
        <f>IF(CQ101="","",CP101)</f>
        <v> </v>
      </c>
      <c r="CR102" s="49" t="s">
        <v>361</v>
      </c>
      <c r="CS102" s="234"/>
      <c r="CV102" s="180" t="str">
        <f>IF(CV101="","",CU101)</f>
        <v> </v>
      </c>
      <c r="CW102" s="49" t="s">
        <v>361</v>
      </c>
      <c r="CX102" s="49"/>
      <c r="CY102" s="49" t="s">
        <v>362</v>
      </c>
      <c r="CZ102" s="49"/>
      <c r="DA102" s="180" t="str">
        <f>IF(DA101="","",CZ101)</f>
        <v> </v>
      </c>
      <c r="DB102" s="49" t="s">
        <v>361</v>
      </c>
      <c r="DC102" s="49"/>
      <c r="DD102" s="49" t="s">
        <v>362</v>
      </c>
      <c r="DE102" s="49"/>
      <c r="DF102" s="49"/>
      <c r="DG102" s="49"/>
      <c r="DH102" s="49"/>
    </row>
    <row r="103" ht="13.5" customHeight="1">
      <c r="A103" s="54"/>
      <c r="B103" s="187">
        <v>49.0</v>
      </c>
      <c r="C103" s="188" t="str">
        <f>(VLOOKUP($B103,'Пр.взв'!$D$6:$J$63,2,0))</f>
        <v>КИРИЯК Денис</v>
      </c>
      <c r="D103" s="189" t="str">
        <f>(VLOOKUP($B103,'Пр.взв'!$D$6:$J$63,5,0))</f>
        <v>КМС</v>
      </c>
      <c r="E103" s="190" t="str">
        <f>(VLOOKUP($B103,'Пр.взв'!$D$6:$M$63,8,0))</f>
        <v>Москва</v>
      </c>
      <c r="F103" s="130">
        <f>B101</f>
        <v>48</v>
      </c>
      <c r="G103" s="255"/>
      <c r="H103" s="132">
        <v>47.0</v>
      </c>
      <c r="I103" s="255"/>
      <c r="J103" s="133" t="str">
        <f>IF(H103="Х","Х",IF($AC103&lt;6," ","Х"))</f>
        <v> </v>
      </c>
      <c r="K103" s="134"/>
      <c r="L103" s="133" t="str">
        <f>IF(J103="Х","Х",IF(K103&lt;3," ",IF($AC103&lt;6," ","Х")))</f>
        <v> </v>
      </c>
      <c r="M103" s="134"/>
      <c r="N103" s="133" t="str">
        <f>IF(L103="Х","Х",IF(M103&lt;3," ",IF($AC103&lt;6," ","Х")))</f>
        <v> </v>
      </c>
      <c r="O103" s="134"/>
      <c r="P103" s="133" t="str">
        <f>IF(N103="Х","Х",IF(O103&lt;3," ",IF($AC103&lt;6," ","Х")))</f>
        <v> </v>
      </c>
      <c r="Q103" s="134"/>
      <c r="R103" s="133" t="str">
        <f>IF(P103="Х","Х",IF(Q103&lt;3," ",IF($AC103&lt;6," ","Х")))</f>
        <v> </v>
      </c>
      <c r="S103" s="134"/>
      <c r="T103" s="133" t="str">
        <f>IF(R103="Х","Х",IF(S103&lt;3," ",IF($AC103&lt;6," ","Х")))</f>
        <v> </v>
      </c>
      <c r="U103" s="135"/>
      <c r="V103" s="133" t="str">
        <f>IF(T103="Х","Х",IF(U103&lt;3," ",IF($AC103&lt;6," ","Х")))</f>
        <v> </v>
      </c>
      <c r="W103" s="135"/>
      <c r="X103" s="133" t="str">
        <f>IF(V103="А1",$AZ$7,IF(V103="Б2",$AZ$6,IF(V103="Б1",$BA$7,IF(V103="А2",$BA$6,IF(V103="Х","Х",IF(V103&lt;6," "," "))))))</f>
        <v> </v>
      </c>
      <c r="Y103" s="136"/>
      <c r="Z103" s="133" t="str">
        <f>IF(V103="Х","Х",IF(ISBLANK(Y103),"",IF(Y103&gt;2.5," ",IF(B103=BB$6,BB$7,BB$6))))</f>
        <v/>
      </c>
      <c r="AA103" s="136"/>
      <c r="AB103" s="240" t="str">
        <f>IF(H103="Х",F$5,IF(J103="Х",H$5,IF(L103="Х",J$5,IF(N103="Х",L$5,IF(P103="Х",N$5,IF(R103="Х",P$5,IF(T103="Х",R$5,IF(X103="Х",T$5,""))))))))</f>
        <v/>
      </c>
      <c r="AC103" s="138">
        <f>SUM(G103+I103+K103+M103+O103+Q103+S103+U103+Y103+AA103)</f>
        <v>0</v>
      </c>
      <c r="AD103" s="241" t="str">
        <f>AF103</f>
        <v>1-54</v>
      </c>
      <c r="AE103" s="140" t="str">
        <f>AD103</f>
        <v>1-54</v>
      </c>
      <c r="AF103" s="141" t="str">
        <f>COUNTIF(AG$6:AG$148,"&gt;"&amp;AG$6:AG$148)+1&amp;REPT("-"&amp;COUNTIF(AG$6:AG$148,"&gt;="&amp;AG$6:AG$148),COUNTIF(AG$6:AG$148,AG103)&gt;1)</f>
        <v>1-54</v>
      </c>
      <c r="AG103" s="142">
        <f>(AR103*100)+(AP103*10)-AC103</f>
        <v>1280</v>
      </c>
      <c r="AH103" s="143" t="str">
        <f>IF(OR(F103="Х",F103="св")," ",IF(AND(G103&gt;=0,G103&lt;3),"1"," "))</f>
        <v>1</v>
      </c>
      <c r="AI103" s="90" t="str">
        <f>IF(OR(H103="Х",H103="св")," ",IF(AND(I103&gt;=0,I103&lt;3),"1"," "))</f>
        <v>1</v>
      </c>
      <c r="AJ103" s="90" t="str">
        <f>IF(OR(J103="Х",J103="св")," ",IF(AND(K103&gt;=0,K103&lt;3),"1"," "))</f>
        <v>1</v>
      </c>
      <c r="AK103" s="90" t="str">
        <f>IF(OR(L103="Х",L103="св")," ",IF(AND(M103&gt;=0,M103&lt;3),"1"," "))</f>
        <v>1</v>
      </c>
      <c r="AL103" s="90" t="str">
        <f>IF(OR(N103="Х",N103="св")," ",IF(AND(O103&gt;=0,O103&lt;3),"1"," "))</f>
        <v>1</v>
      </c>
      <c r="AM103" s="90" t="str">
        <f>IF(OR(P103="Х",P103="св")," ",IF(AND(Q103&gt;=0,Q103&lt;3),"1"," "))</f>
        <v>1</v>
      </c>
      <c r="AN103" s="90" t="str">
        <f>IF(OR(R103="Х",R103="св")," ",IF(AND(S103&gt;=0,S103&lt;3),"1"," "))</f>
        <v>1</v>
      </c>
      <c r="AO103" s="90" t="str">
        <f>IF(OR(T103="Х",T103="св")," ",IF(AND(U103&gt;=0,U103&lt;3),"1"," "))</f>
        <v>1</v>
      </c>
      <c r="AP103" s="90">
        <f>COUNTIF(AH103:AO104,1)</f>
        <v>8</v>
      </c>
      <c r="AQ103" s="90">
        <f>AG103-AC103</f>
        <v>1280</v>
      </c>
      <c r="AR103" s="144">
        <f>IF(F103=0,0,IF(F103="Х",1,IF(H103="Х",2,IF(J103="Х",3,IF(L103="Х",4,IF(N103="Х",5,IF(P103="Х",6,IF(R103="Х",7,IF(T103="Х",8,IF(V103="Х",9,IF(Y103&gt;2.5,10,IF(AA103&gt;2.5,11,IF(AA103&gt;=0,12,IF(AA103=" ",0,))))))))))))))</f>
        <v>12</v>
      </c>
      <c r="AS103" s="90" t="str">
        <f>COUNTIF(AG$6:AG$134,"&gt;"&amp;AG$6:AG$134)+1&amp;REPT("-"&amp;COUNTIF(AG$6:AG$134,"&gt;="&amp;AG$6:AG$134),COUNTIF(AG$6:AG$134,AG103)&gt;1)</f>
        <v>1-54</v>
      </c>
      <c r="AT103" s="143" t="str">
        <f t="shared" ref="AT103:AW103" si="54">COUNTIF(AU$6:AU$134,"&gt;"&amp;AU$6:AU$134)+1&amp;REPT("-"&amp;COUNTIF(AU$6:AU$134,"&gt;="&amp;AU$6:AU$134),COUNTIF(AU$6:AU$134,AU103)&gt;1)</f>
        <v>1-64</v>
      </c>
      <c r="AU103" s="143" t="str">
        <f t="shared" si="54"/>
        <v>1-0</v>
      </c>
      <c r="AV103" s="143" t="str">
        <f t="shared" si="54"/>
        <v>1</v>
      </c>
      <c r="AW103" s="143" t="str">
        <f t="shared" si="54"/>
        <v>16</v>
      </c>
      <c r="AX103" s="145">
        <f>IF(X103="Х","Х",IF(Y103&lt;3,B103,"Х"))</f>
        <v>49</v>
      </c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195">
        <v>49.0</v>
      </c>
      <c r="BN103" s="196">
        <v>48.0</v>
      </c>
      <c r="BO103" s="153" t="str">
        <f>IF(BM103&lt;BN103,BM103,"")</f>
        <v/>
      </c>
      <c r="BP103" s="196" t="s">
        <v>362</v>
      </c>
      <c r="BQ103" s="197"/>
      <c r="BR103" s="198">
        <v>49.0</v>
      </c>
      <c r="BS103" s="196">
        <v>47.0</v>
      </c>
      <c r="BT103" s="175" t="str">
        <f>IF(BR103&lt;BS103,BR103,"")</f>
        <v/>
      </c>
      <c r="BU103" s="196" t="s">
        <v>362</v>
      </c>
      <c r="BV103" s="196"/>
      <c r="BW103" s="199">
        <v>49.0</v>
      </c>
      <c r="BX103" s="74" t="s">
        <v>361</v>
      </c>
      <c r="BY103" s="160">
        <f t="array" ref="BY103">IF(BW103&lt;BX103,BW103,"")</f>
        <v>49</v>
      </c>
      <c r="BZ103" s="160">
        <f t="shared" si="34"/>
        <v>49</v>
      </c>
      <c r="CA103" s="74"/>
      <c r="CB103" s="74" t="str">
        <f t="shared" si="35"/>
        <v>св</v>
      </c>
      <c r="CC103" s="200"/>
      <c r="CD103" s="243"/>
      <c r="CE103" s="200">
        <v>49.0</v>
      </c>
      <c r="CF103" s="25" t="s">
        <v>361</v>
      </c>
      <c r="CG103" s="153">
        <f t="array" ref="CG103">IF(CE103&lt;CF103,CE103,"")</f>
        <v>49</v>
      </c>
      <c r="CH103" s="74">
        <v>49.0</v>
      </c>
      <c r="CI103" s="182"/>
      <c r="CJ103" s="93">
        <v>49.0</v>
      </c>
      <c r="CK103" s="233" t="s">
        <v>361</v>
      </c>
      <c r="CL103" s="153">
        <f t="array" ref="CL103">IF(CJ103&lt;CK103,CJ103,"")</f>
        <v>49</v>
      </c>
      <c r="CM103" s="49">
        <v>49.0</v>
      </c>
      <c r="CN103" s="49"/>
      <c r="CO103" s="74">
        <v>49.0</v>
      </c>
      <c r="CP103" s="200" t="s">
        <v>361</v>
      </c>
      <c r="CQ103" s="153">
        <f t="array" ref="CQ103">IF(CO103&lt;CP103,CO103,"")</f>
        <v>49</v>
      </c>
      <c r="CR103" s="93">
        <v>49.0</v>
      </c>
      <c r="CS103" s="234"/>
      <c r="CT103" s="200">
        <v>49.0</v>
      </c>
      <c r="CU103" s="74" t="s">
        <v>361</v>
      </c>
      <c r="CV103" s="153">
        <f t="array" ref="CV103">IF(CT103&lt;CU103,CT103,"")</f>
        <v>49</v>
      </c>
      <c r="CW103" s="49">
        <v>49.0</v>
      </c>
      <c r="CX103" s="49"/>
      <c r="CY103" s="49">
        <v>49.0</v>
      </c>
      <c r="CZ103" s="49" t="s">
        <v>361</v>
      </c>
      <c r="DA103" s="153">
        <f t="array" ref="DA103">IF(CY103&lt;CZ103,CY103,"")</f>
        <v>49</v>
      </c>
      <c r="DB103" s="49">
        <v>49.0</v>
      </c>
      <c r="DC103" s="49"/>
      <c r="DD103" s="49">
        <v>49.0</v>
      </c>
      <c r="DE103" s="49"/>
      <c r="DF103" s="49"/>
      <c r="DG103" s="49"/>
      <c r="DH103" s="49"/>
    </row>
    <row r="104" ht="13.5" customHeight="1">
      <c r="A104" s="54"/>
      <c r="B104" s="165"/>
      <c r="C104" s="165"/>
      <c r="D104" s="165"/>
      <c r="E104" s="165"/>
      <c r="F104" s="166"/>
      <c r="G104" s="167"/>
      <c r="H104" s="168"/>
      <c r="I104" s="167"/>
      <c r="J104" s="168"/>
      <c r="K104" s="167"/>
      <c r="L104" s="168"/>
      <c r="M104" s="167"/>
      <c r="N104" s="168"/>
      <c r="O104" s="167"/>
      <c r="P104" s="168"/>
      <c r="Q104" s="167"/>
      <c r="R104" s="168"/>
      <c r="S104" s="167"/>
      <c r="T104" s="168"/>
      <c r="U104" s="169"/>
      <c r="V104" s="168"/>
      <c r="W104" s="169"/>
      <c r="X104" s="168"/>
      <c r="Y104" s="167"/>
      <c r="Z104" s="168"/>
      <c r="AA104" s="167"/>
      <c r="AB104" s="166"/>
      <c r="AC104" s="165"/>
      <c r="AD104" s="168"/>
      <c r="AE104" s="170"/>
      <c r="AF104" s="171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178"/>
      <c r="BO104" s="175" t="str">
        <f>IF(BO103="","",BN103)</f>
        <v/>
      </c>
      <c r="BP104" s="175" t="s">
        <v>362</v>
      </c>
      <c r="BQ104" s="197"/>
      <c r="BT104" s="175" t="str">
        <f>IF(BT103="","",BS103)</f>
        <v/>
      </c>
      <c r="BU104" s="175" t="s">
        <v>362</v>
      </c>
      <c r="BV104" s="196"/>
      <c r="BW104" s="178"/>
      <c r="BY104" s="160" t="str">
        <f>IF(BY103="","",BX103)</f>
        <v> </v>
      </c>
      <c r="BZ104" s="160" t="str">
        <f t="shared" si="34"/>
        <v> </v>
      </c>
      <c r="CA104" s="200"/>
      <c r="CB104" s="74" t="str">
        <f t="shared" si="35"/>
        <v>св</v>
      </c>
      <c r="CC104" s="200"/>
      <c r="CD104" s="243"/>
      <c r="CG104" s="180" t="str">
        <f>IF(CG103="","",CF103)</f>
        <v> </v>
      </c>
      <c r="CH104" s="200" t="s">
        <v>361</v>
      </c>
      <c r="CI104" s="182"/>
      <c r="CJ104" s="49" t="s">
        <v>362</v>
      </c>
      <c r="CK104" s="235"/>
      <c r="CL104" s="180" t="str">
        <f>IF(CL103="","",CK103)</f>
        <v> </v>
      </c>
      <c r="CM104" s="49" t="s">
        <v>361</v>
      </c>
      <c r="CN104" s="49"/>
      <c r="CQ104" s="180" t="str">
        <f>IF(CQ103="","",CP103)</f>
        <v> </v>
      </c>
      <c r="CR104" s="49" t="s">
        <v>361</v>
      </c>
      <c r="CS104" s="234"/>
      <c r="CV104" s="180" t="str">
        <f>IF(CV103="","",CU103)</f>
        <v> </v>
      </c>
      <c r="CW104" s="49" t="s">
        <v>361</v>
      </c>
      <c r="CX104" s="49"/>
      <c r="CY104" s="49" t="s">
        <v>362</v>
      </c>
      <c r="CZ104" s="49"/>
      <c r="DA104" s="180" t="str">
        <f>IF(DA103="","",CZ103)</f>
        <v> </v>
      </c>
      <c r="DB104" s="49" t="s">
        <v>361</v>
      </c>
      <c r="DC104" s="49"/>
      <c r="DD104" s="49" t="s">
        <v>362</v>
      </c>
      <c r="DE104" s="49"/>
      <c r="DF104" s="49"/>
      <c r="DG104" s="49"/>
      <c r="DH104" s="49"/>
    </row>
    <row r="105" ht="13.5" customHeight="1">
      <c r="A105" s="54"/>
      <c r="B105" s="187">
        <v>50.0</v>
      </c>
      <c r="C105" s="188" t="str">
        <f>(VLOOKUP($B105,'Пр.взв'!$D$6:$J$63,2,0))</f>
        <v>ХАКУЙ Ислам</v>
      </c>
      <c r="D105" s="189" t="str">
        <f>(VLOOKUP($B105,'Пр.взв'!$D$6:$J$63,5,0))</f>
        <v>КМС</v>
      </c>
      <c r="E105" s="190" t="str">
        <f>(VLOOKUP($B105,'Пр.взв'!$D$6:$M$63,8,0))</f>
        <v>Р.Адыгея</v>
      </c>
      <c r="F105" s="130">
        <f>B107</f>
        <v>51</v>
      </c>
      <c r="G105" s="134"/>
      <c r="H105" s="132">
        <v>52.0</v>
      </c>
      <c r="I105" s="136"/>
      <c r="J105" s="133" t="str">
        <f>IF(H105="Х","Х",IF($AC105&lt;6," ","Х"))</f>
        <v> </v>
      </c>
      <c r="K105" s="134"/>
      <c r="L105" s="133" t="str">
        <f>IF(J105="Х","Х",IF(K105&lt;3," ",IF($AC105&lt;6," ","Х")))</f>
        <v> </v>
      </c>
      <c r="M105" s="134"/>
      <c r="N105" s="133" t="str">
        <f>IF(L105="Х","Х",IF(M105&lt;3," ",IF($AC105&lt;6," ","Х")))</f>
        <v> </v>
      </c>
      <c r="O105" s="134"/>
      <c r="P105" s="133" t="str">
        <f>IF(N105="Х","Х",IF(O105&lt;3," ",IF($AC105&lt;6," ","Х")))</f>
        <v> </v>
      </c>
      <c r="Q105" s="134"/>
      <c r="R105" s="133" t="str">
        <f>IF(P105="Х","Х",IF(Q105&lt;3," ",IF($AC105&lt;6," ","Х")))</f>
        <v> </v>
      </c>
      <c r="S105" s="134"/>
      <c r="T105" s="133" t="str">
        <f>IF(R105="Х","Х",IF(S105&lt;3," ",IF($AC105&lt;6," ","Х")))</f>
        <v> </v>
      </c>
      <c r="U105" s="135"/>
      <c r="V105" s="133" t="str">
        <f>IF(T105="Х","Х",IF(U105&lt;3," ",IF($AC105&lt;6," ","Х")))</f>
        <v> </v>
      </c>
      <c r="W105" s="135"/>
      <c r="X105" s="133" t="str">
        <f>IF(V105="А1",$AZ$7,IF(V105="Б2",$AZ$6,IF(V105="Б1",$BA$7,IF(V105="А2",$BA$6,IF(V105="Х","Х",IF(V105&lt;6," "," "))))))</f>
        <v> </v>
      </c>
      <c r="Y105" s="136"/>
      <c r="Z105" s="133" t="str">
        <f>IF(V105="Х","Х",IF(ISBLANK(Y105),"",IF(Y105&gt;2.5," ",IF(B105=BB$6,BB$7,BB$6))))</f>
        <v/>
      </c>
      <c r="AA105" s="136"/>
      <c r="AB105" s="240" t="str">
        <f>IF(H105="Х",F$5,IF(J105="Х",H$5,IF(L105="Х",J$5,IF(N105="Х",L$5,IF(P105="Х",N$5,IF(R105="Х",P$5,IF(T105="Х",R$5,IF(X105="Х",T$5,""))))))))</f>
        <v/>
      </c>
      <c r="AC105" s="138">
        <f>SUM(G105+I105+K105+M105+O105+Q105+S105+U105+Y105+AA105)</f>
        <v>0</v>
      </c>
      <c r="AD105" s="241" t="str">
        <f>AF105</f>
        <v>1-54</v>
      </c>
      <c r="AE105" s="140" t="str">
        <f>AD105</f>
        <v>1-54</v>
      </c>
      <c r="AF105" s="141" t="str">
        <f>COUNTIF(AG$6:AG$148,"&gt;"&amp;AG$6:AG$148)+1&amp;REPT("-"&amp;COUNTIF(AG$6:AG$148,"&gt;="&amp;AG$6:AG$148),COUNTIF(AG$6:AG$148,AG105)&gt;1)</f>
        <v>1-54</v>
      </c>
      <c r="AG105" s="142">
        <f>(AR105*100)+(AP105*10)-AC105</f>
        <v>1280</v>
      </c>
      <c r="AH105" s="143" t="str">
        <f>IF(OR(F105="Х",F105="св")," ",IF(AND(G105&gt;=0,G105&lt;3),"1"," "))</f>
        <v>1</v>
      </c>
      <c r="AI105" s="90" t="str">
        <f>IF(OR(H105="Х",H105="св")," ",IF(AND(I105&gt;=0,I105&lt;3),"1"," "))</f>
        <v>1</v>
      </c>
      <c r="AJ105" s="90" t="str">
        <f>IF(OR(J105="Х",J105="св")," ",IF(AND(K105&gt;=0,K105&lt;3),"1"," "))</f>
        <v>1</v>
      </c>
      <c r="AK105" s="90" t="str">
        <f>IF(OR(L105="Х",L105="св")," ",IF(AND(M105&gt;=0,M105&lt;3),"1"," "))</f>
        <v>1</v>
      </c>
      <c r="AL105" s="90" t="str">
        <f>IF(OR(N105="Х",N105="св")," ",IF(AND(O105&gt;=0,O105&lt;3),"1"," "))</f>
        <v>1</v>
      </c>
      <c r="AM105" s="90" t="str">
        <f>IF(OR(P105="Х",P105="св")," ",IF(AND(Q105&gt;=0,Q105&lt;3),"1"," "))</f>
        <v>1</v>
      </c>
      <c r="AN105" s="90" t="str">
        <f>IF(OR(R105="Х",R105="св")," ",IF(AND(S105&gt;=0,S105&lt;3),"1"," "))</f>
        <v>1</v>
      </c>
      <c r="AO105" s="90" t="str">
        <f>IF(OR(T105="Х",T105="св")," ",IF(AND(U105&gt;=0,U105&lt;3),"1"," "))</f>
        <v>1</v>
      </c>
      <c r="AP105" s="90">
        <f>COUNTIF(AH105:AO106,1)</f>
        <v>8</v>
      </c>
      <c r="AQ105" s="90">
        <f>AG105-AC105</f>
        <v>1280</v>
      </c>
      <c r="AR105" s="144">
        <f>IF(F105=0,0,IF(F105="Х",1,IF(H105="Х",2,IF(J105="Х",3,IF(L105="Х",4,IF(N105="Х",5,IF(P105="Х",6,IF(R105="Х",7,IF(T105="Х",8,IF(V105="Х",9,IF(Y105&gt;2.5,10,IF(AA105&gt;2.5,11,IF(AA105&gt;=0,12,IF(AA105=" ",0,))))))))))))))</f>
        <v>12</v>
      </c>
      <c r="AS105" s="90" t="str">
        <f>COUNTIF(AG$6:AG$134,"&gt;"&amp;AG$6:AG$134)+1&amp;REPT("-"&amp;COUNTIF(AG$6:AG$134,"&gt;="&amp;AG$6:AG$134),COUNTIF(AG$6:AG$134,AG105)&gt;1)</f>
        <v>1-54</v>
      </c>
      <c r="AT105" s="143" t="str">
        <f t="shared" ref="AT105:AW105" si="55">COUNTIF(AU$6:AU$134,"&gt;"&amp;AU$6:AU$134)+1&amp;REPT("-"&amp;COUNTIF(AU$6:AU$134,"&gt;="&amp;AU$6:AU$134),COUNTIF(AU$6:AU$134,AU105)&gt;1)</f>
        <v>1-64</v>
      </c>
      <c r="AU105" s="143" t="str">
        <f t="shared" si="55"/>
        <v>1-0</v>
      </c>
      <c r="AV105" s="143" t="str">
        <f t="shared" si="55"/>
        <v>1</v>
      </c>
      <c r="AW105" s="143" t="str">
        <f t="shared" si="55"/>
        <v>15</v>
      </c>
      <c r="AX105" s="145">
        <f>IF(X105="Х","Х",IF(Y105&lt;3,B105,"Х"))</f>
        <v>50</v>
      </c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195">
        <v>50.0</v>
      </c>
      <c r="BN105" s="196">
        <v>51.0</v>
      </c>
      <c r="BO105" s="153">
        <f>IF(BM105&lt;BN105,BM105,"")</f>
        <v>50</v>
      </c>
      <c r="BP105" s="196">
        <v>50.0</v>
      </c>
      <c r="BQ105" s="197"/>
      <c r="BR105" s="198">
        <v>50.0</v>
      </c>
      <c r="BS105" s="196">
        <v>52.0</v>
      </c>
      <c r="BT105" s="175">
        <f>IF(BR105&lt;BS105,BR105,"")</f>
        <v>50</v>
      </c>
      <c r="BU105" s="196">
        <v>50.0</v>
      </c>
      <c r="BV105" s="196"/>
      <c r="BW105" s="199">
        <v>50.0</v>
      </c>
      <c r="BX105" s="74" t="s">
        <v>361</v>
      </c>
      <c r="BY105" s="160">
        <f t="array" ref="BY105">IF(BW105&lt;BX105,BW105,"")</f>
        <v>50</v>
      </c>
      <c r="BZ105" s="160">
        <f t="shared" si="34"/>
        <v>50</v>
      </c>
      <c r="CA105" s="74"/>
      <c r="CB105" s="74" t="str">
        <f t="shared" si="35"/>
        <v>св</v>
      </c>
      <c r="CC105" s="200"/>
      <c r="CD105" s="243"/>
      <c r="CE105" s="200">
        <v>50.0</v>
      </c>
      <c r="CF105" s="25" t="s">
        <v>361</v>
      </c>
      <c r="CG105" s="153">
        <f t="array" ref="CG105">IF(CE105&lt;CF105,CE105,"")</f>
        <v>50</v>
      </c>
      <c r="CH105" s="74">
        <v>50.0</v>
      </c>
      <c r="CI105" s="182"/>
      <c r="CJ105" s="93">
        <v>50.0</v>
      </c>
      <c r="CK105" s="233" t="s">
        <v>361</v>
      </c>
      <c r="CL105" s="153">
        <f t="array" ref="CL105">IF(CJ105&lt;CK105,CJ105,"")</f>
        <v>50</v>
      </c>
      <c r="CM105" s="49">
        <v>50.0</v>
      </c>
      <c r="CN105" s="49"/>
      <c r="CO105" s="74">
        <v>50.0</v>
      </c>
      <c r="CP105" s="200" t="s">
        <v>361</v>
      </c>
      <c r="CQ105" s="153">
        <f t="array" ref="CQ105">IF(CO105&lt;CP105,CO105,"")</f>
        <v>50</v>
      </c>
      <c r="CR105" s="93">
        <v>50.0</v>
      </c>
      <c r="CS105" s="234"/>
      <c r="CT105" s="200">
        <v>50.0</v>
      </c>
      <c r="CU105" s="74" t="s">
        <v>361</v>
      </c>
      <c r="CV105" s="153">
        <f t="array" ref="CV105">IF(CT105&lt;CU105,CT105,"")</f>
        <v>50</v>
      </c>
      <c r="CW105" s="49">
        <v>50.0</v>
      </c>
      <c r="CX105" s="49"/>
      <c r="CY105" s="49">
        <v>50.0</v>
      </c>
      <c r="CZ105" s="49" t="s">
        <v>361</v>
      </c>
      <c r="DA105" s="153">
        <f t="array" ref="DA105">IF(CY105&lt;CZ105,CY105,"")</f>
        <v>50</v>
      </c>
      <c r="DB105" s="49">
        <v>50.0</v>
      </c>
      <c r="DC105" s="49"/>
      <c r="DD105" s="49">
        <v>50.0</v>
      </c>
      <c r="DE105" s="49"/>
      <c r="DF105" s="49"/>
      <c r="DG105" s="49"/>
      <c r="DH105" s="49"/>
    </row>
    <row r="106" ht="13.5" customHeight="1">
      <c r="A106" s="54"/>
      <c r="B106" s="165"/>
      <c r="C106" s="165"/>
      <c r="D106" s="165"/>
      <c r="E106" s="165"/>
      <c r="F106" s="166"/>
      <c r="G106" s="167"/>
      <c r="H106" s="168"/>
      <c r="I106" s="167"/>
      <c r="J106" s="168"/>
      <c r="K106" s="167"/>
      <c r="L106" s="168"/>
      <c r="M106" s="167"/>
      <c r="N106" s="168"/>
      <c r="O106" s="167"/>
      <c r="P106" s="168"/>
      <c r="Q106" s="167"/>
      <c r="R106" s="168"/>
      <c r="S106" s="167"/>
      <c r="T106" s="168"/>
      <c r="U106" s="169"/>
      <c r="V106" s="168"/>
      <c r="W106" s="169"/>
      <c r="X106" s="168"/>
      <c r="Y106" s="167"/>
      <c r="Z106" s="168"/>
      <c r="AA106" s="167"/>
      <c r="AB106" s="166"/>
      <c r="AC106" s="165"/>
      <c r="AD106" s="168"/>
      <c r="AE106" s="170"/>
      <c r="AF106" s="171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178"/>
      <c r="BO106" s="175">
        <f>IF(BO105="","",BN105)</f>
        <v>51</v>
      </c>
      <c r="BP106" s="175">
        <v>51.0</v>
      </c>
      <c r="BQ106" s="197"/>
      <c r="BT106" s="175">
        <f>IF(BT105="","",BS105)</f>
        <v>52</v>
      </c>
      <c r="BU106" s="175">
        <v>52.0</v>
      </c>
      <c r="BV106" s="196"/>
      <c r="BW106" s="178"/>
      <c r="BY106" s="160" t="str">
        <f>IF(BY105="","",BX105)</f>
        <v> </v>
      </c>
      <c r="BZ106" s="160" t="str">
        <f t="shared" si="34"/>
        <v> </v>
      </c>
      <c r="CA106" s="200"/>
      <c r="CB106" s="74" t="str">
        <f t="shared" si="35"/>
        <v>св</v>
      </c>
      <c r="CC106" s="200"/>
      <c r="CD106" s="243"/>
      <c r="CG106" s="180" t="str">
        <f>IF(CG105="","",CF105)</f>
        <v> </v>
      </c>
      <c r="CH106" s="200" t="s">
        <v>361</v>
      </c>
      <c r="CI106" s="182"/>
      <c r="CJ106" s="49" t="s">
        <v>362</v>
      </c>
      <c r="CK106" s="235"/>
      <c r="CL106" s="180" t="str">
        <f>IF(CL105="","",CK105)</f>
        <v> </v>
      </c>
      <c r="CM106" s="49" t="s">
        <v>361</v>
      </c>
      <c r="CN106" s="49"/>
      <c r="CQ106" s="180" t="str">
        <f>IF(CQ105="","",CP105)</f>
        <v> </v>
      </c>
      <c r="CR106" s="49" t="s">
        <v>361</v>
      </c>
      <c r="CS106" s="234"/>
      <c r="CV106" s="180" t="str">
        <f>IF(CV105="","",CU105)</f>
        <v> </v>
      </c>
      <c r="CW106" s="49" t="s">
        <v>361</v>
      </c>
      <c r="CX106" s="49"/>
      <c r="CY106" s="49" t="s">
        <v>362</v>
      </c>
      <c r="CZ106" s="49"/>
      <c r="DA106" s="180" t="str">
        <f>IF(DA105="","",CZ105)</f>
        <v> </v>
      </c>
      <c r="DB106" s="49" t="s">
        <v>361</v>
      </c>
      <c r="DC106" s="49"/>
      <c r="DD106" s="49" t="s">
        <v>362</v>
      </c>
      <c r="DE106" s="49"/>
      <c r="DF106" s="49"/>
      <c r="DG106" s="49"/>
      <c r="DH106" s="49"/>
    </row>
    <row r="107" ht="13.5" customHeight="1">
      <c r="A107" s="54"/>
      <c r="B107" s="187">
        <v>51.0</v>
      </c>
      <c r="C107" s="188" t="str">
        <f>(VLOOKUP($B107,'Пр.взв'!$D$6:$J$63,2,0))</f>
        <v>ГОРШКОВ Фёдор</v>
      </c>
      <c r="D107" s="189" t="str">
        <f>(VLOOKUP($B107,'Пр.взв'!$D$6:$J$63,5,0))</f>
        <v>КМС</v>
      </c>
      <c r="E107" s="190" t="str">
        <f>(VLOOKUP($B107,'Пр.взв'!$D$6:$M$63,8,0))</f>
        <v>Санкт-Петербург</v>
      </c>
      <c r="F107" s="130">
        <f>B105</f>
        <v>50</v>
      </c>
      <c r="G107" s="255"/>
      <c r="H107" s="132">
        <v>53.0</v>
      </c>
      <c r="I107" s="255"/>
      <c r="J107" s="133" t="str">
        <f>IF(H107="Х","Х",IF($AC107&lt;6," ","Х"))</f>
        <v> </v>
      </c>
      <c r="K107" s="134"/>
      <c r="L107" s="133" t="str">
        <f>IF(J107="Х","Х",IF(K107&lt;3," ",IF($AC107&lt;6," ","Х")))</f>
        <v> </v>
      </c>
      <c r="M107" s="134"/>
      <c r="N107" s="133" t="str">
        <f>IF(L107="Х","Х",IF(M107&lt;3," ",IF($AC107&lt;6," ","Х")))</f>
        <v> </v>
      </c>
      <c r="O107" s="134"/>
      <c r="P107" s="133" t="str">
        <f>IF(N107="Х","Х",IF(O107&lt;3," ",IF($AC107&lt;6," ","Х")))</f>
        <v> </v>
      </c>
      <c r="Q107" s="134"/>
      <c r="R107" s="133" t="str">
        <f>IF(P107="Х","Х",IF(Q107&lt;3," ",IF($AC107&lt;6," ","Х")))</f>
        <v> </v>
      </c>
      <c r="S107" s="134"/>
      <c r="T107" s="133" t="str">
        <f>IF(R107="Х","Х",IF(S107&lt;3," ",IF($AC107&lt;6," ","Х")))</f>
        <v> </v>
      </c>
      <c r="U107" s="135"/>
      <c r="V107" s="133" t="str">
        <f>IF(T107="Х","Х",IF(U107&lt;3," ",IF($AC107&lt;6," ","Х")))</f>
        <v> </v>
      </c>
      <c r="W107" s="135"/>
      <c r="X107" s="133" t="str">
        <f>IF(V107="А1",$AZ$7,IF(V107="Б2",$AZ$6,IF(V107="Б1",$BA$7,IF(V107="А2",$BA$6,IF(V107="Х","Х",IF(V107&lt;6," "," "))))))</f>
        <v> </v>
      </c>
      <c r="Y107" s="136"/>
      <c r="Z107" s="133" t="str">
        <f>IF(V107="Х","Х",IF(ISBLANK(Y107),"",IF(Y107&gt;2.5," ",IF(B107=BB$6,BB$7,BB$6))))</f>
        <v/>
      </c>
      <c r="AA107" s="136"/>
      <c r="AB107" s="240" t="str">
        <f>IF(H107="Х",F$5,IF(J107="Х",H$5,IF(L107="Х",J$5,IF(N107="Х",L$5,IF(P107="Х",N$5,IF(R107="Х",P$5,IF(T107="Х",R$5,IF(X107="Х",T$5,""))))))))</f>
        <v/>
      </c>
      <c r="AC107" s="138">
        <f>SUM(G107+I107+K107+M107+O107+Q107+S107+U107+Y107+AA107)</f>
        <v>0</v>
      </c>
      <c r="AD107" s="241" t="str">
        <f>AF107</f>
        <v>1-54</v>
      </c>
      <c r="AE107" s="140" t="str">
        <f>AD107</f>
        <v>1-54</v>
      </c>
      <c r="AF107" s="141" t="str">
        <f>COUNTIF(AG$6:AG$148,"&gt;"&amp;AG$6:AG$148)+1&amp;REPT("-"&amp;COUNTIF(AG$6:AG$148,"&gt;="&amp;AG$6:AG$148),COUNTIF(AG$6:AG$148,AG107)&gt;1)</f>
        <v>1-54</v>
      </c>
      <c r="AG107" s="142">
        <f>(AR107*100)+(AP107*10)-AC107</f>
        <v>1280</v>
      </c>
      <c r="AH107" s="143" t="str">
        <f>IF(OR(F107="Х",F107="св")," ",IF(AND(G107&gt;=0,G107&lt;3),"1"," "))</f>
        <v>1</v>
      </c>
      <c r="AI107" s="90" t="str">
        <f>IF(OR(H107="Х",H107="св")," ",IF(AND(I107&gt;=0,I107&lt;3),"1"," "))</f>
        <v>1</v>
      </c>
      <c r="AJ107" s="90" t="str">
        <f>IF(OR(J107="Х",J107="св")," ",IF(AND(K107&gt;=0,K107&lt;3),"1"," "))</f>
        <v>1</v>
      </c>
      <c r="AK107" s="90" t="str">
        <f>IF(OR(L107="Х",L107="св")," ",IF(AND(M107&gt;=0,M107&lt;3),"1"," "))</f>
        <v>1</v>
      </c>
      <c r="AL107" s="90" t="str">
        <f>IF(OR(N107="Х",N107="св")," ",IF(AND(O107&gt;=0,O107&lt;3),"1"," "))</f>
        <v>1</v>
      </c>
      <c r="AM107" s="90" t="str">
        <f>IF(OR(P107="Х",P107="св")," ",IF(AND(Q107&gt;=0,Q107&lt;3),"1"," "))</f>
        <v>1</v>
      </c>
      <c r="AN107" s="90" t="str">
        <f>IF(OR(R107="Х",R107="св")," ",IF(AND(S107&gt;=0,S107&lt;3),"1"," "))</f>
        <v>1</v>
      </c>
      <c r="AO107" s="90" t="str">
        <f>IF(OR(T107="Х",T107="св")," ",IF(AND(U107&gt;=0,U107&lt;3),"1"," "))</f>
        <v>1</v>
      </c>
      <c r="AP107" s="90">
        <f>COUNTIF(AH107:AO108,1)</f>
        <v>8</v>
      </c>
      <c r="AQ107" s="90">
        <f>AG107-AC107</f>
        <v>1280</v>
      </c>
      <c r="AR107" s="144">
        <f>IF(F107=0,0,IF(F107="Х",1,IF(H107="Х",2,IF(J107="Х",3,IF(L107="Х",4,IF(N107="Х",5,IF(P107="Х",6,IF(R107="Х",7,IF(T107="Х",8,IF(V107="Х",9,IF(Y107&gt;2.5,10,IF(AA107&gt;2.5,11,IF(AA107&gt;=0,12,IF(AA107=" ",0,))))))))))))))</f>
        <v>12</v>
      </c>
      <c r="AS107" s="90" t="str">
        <f>COUNTIF(AG$6:AG$134,"&gt;"&amp;AG$6:AG$134)+1&amp;REPT("-"&amp;COUNTIF(AG$6:AG$134,"&gt;="&amp;AG$6:AG$134),COUNTIF(AG$6:AG$134,AG107)&gt;1)</f>
        <v>1-54</v>
      </c>
      <c r="AT107" s="143" t="str">
        <f t="shared" ref="AT107:AW107" si="56">COUNTIF(AU$6:AU$134,"&gt;"&amp;AU$6:AU$134)+1&amp;REPT("-"&amp;COUNTIF(AU$6:AU$134,"&gt;="&amp;AU$6:AU$134),COUNTIF(AU$6:AU$134,AU107)&gt;1)</f>
        <v>1-64</v>
      </c>
      <c r="AU107" s="143" t="str">
        <f t="shared" si="56"/>
        <v>1-0</v>
      </c>
      <c r="AV107" s="143" t="str">
        <f t="shared" si="56"/>
        <v>1</v>
      </c>
      <c r="AW107" s="143" t="str">
        <f t="shared" si="56"/>
        <v>14</v>
      </c>
      <c r="AX107" s="145">
        <f>IF(X107="Х","Х",IF(Y107&lt;3,B107,"Х"))</f>
        <v>51</v>
      </c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195">
        <v>51.0</v>
      </c>
      <c r="BN107" s="196">
        <v>50.0</v>
      </c>
      <c r="BO107" s="153" t="str">
        <f>IF(BM107&lt;BN107,BM107,"")</f>
        <v/>
      </c>
      <c r="BP107" s="196" t="s">
        <v>362</v>
      </c>
      <c r="BQ107" s="197"/>
      <c r="BR107" s="198">
        <v>51.0</v>
      </c>
      <c r="BS107" s="196">
        <v>53.0</v>
      </c>
      <c r="BT107" s="175">
        <f>IF(BR107&lt;BS107,BR107,"")</f>
        <v>51</v>
      </c>
      <c r="BU107" s="196">
        <v>51.0</v>
      </c>
      <c r="BV107" s="196"/>
      <c r="BW107" s="199">
        <v>51.0</v>
      </c>
      <c r="BX107" s="74" t="s">
        <v>361</v>
      </c>
      <c r="BY107" s="160">
        <f t="array" ref="BY107">IF(BW107&lt;BX107,BW107,"")</f>
        <v>51</v>
      </c>
      <c r="BZ107" s="160">
        <f t="shared" si="34"/>
        <v>51</v>
      </c>
      <c r="CA107" s="74"/>
      <c r="CB107" s="74" t="str">
        <f t="shared" si="35"/>
        <v>св</v>
      </c>
      <c r="CC107" s="200"/>
      <c r="CD107" s="243"/>
      <c r="CE107" s="200">
        <v>51.0</v>
      </c>
      <c r="CF107" s="25" t="s">
        <v>361</v>
      </c>
      <c r="CG107" s="153">
        <f t="array" ref="CG107">IF(CE107&lt;CF107,CE107,"")</f>
        <v>51</v>
      </c>
      <c r="CH107" s="74">
        <v>51.0</v>
      </c>
      <c r="CI107" s="182"/>
      <c r="CJ107" s="93">
        <v>51.0</v>
      </c>
      <c r="CK107" s="233" t="s">
        <v>361</v>
      </c>
      <c r="CL107" s="153">
        <f t="array" ref="CL107">IF(CJ107&lt;CK107,CJ107,"")</f>
        <v>51</v>
      </c>
      <c r="CM107" s="49">
        <v>51.0</v>
      </c>
      <c r="CN107" s="49"/>
      <c r="CO107" s="74">
        <v>51.0</v>
      </c>
      <c r="CP107" s="200" t="s">
        <v>361</v>
      </c>
      <c r="CQ107" s="153">
        <f t="array" ref="CQ107">IF(CO107&lt;CP107,CO107,"")</f>
        <v>51</v>
      </c>
      <c r="CR107" s="93">
        <v>51.0</v>
      </c>
      <c r="CS107" s="234"/>
      <c r="CT107" s="200">
        <v>51.0</v>
      </c>
      <c r="CU107" s="74" t="s">
        <v>361</v>
      </c>
      <c r="CV107" s="153">
        <f t="array" ref="CV107">IF(CT107&lt;CU107,CT107,"")</f>
        <v>51</v>
      </c>
      <c r="CW107" s="49">
        <v>51.0</v>
      </c>
      <c r="CX107" s="49"/>
      <c r="CY107" s="49">
        <v>51.0</v>
      </c>
      <c r="CZ107" s="49" t="s">
        <v>361</v>
      </c>
      <c r="DA107" s="153">
        <f t="array" ref="DA107">IF(CY107&lt;CZ107,CY107,"")</f>
        <v>51</v>
      </c>
      <c r="DB107" s="49">
        <v>51.0</v>
      </c>
      <c r="DC107" s="49"/>
      <c r="DD107" s="49">
        <v>51.0</v>
      </c>
      <c r="DE107" s="49"/>
      <c r="DF107" s="49"/>
      <c r="DG107" s="49"/>
      <c r="DH107" s="49"/>
    </row>
    <row r="108" ht="13.5" customHeight="1">
      <c r="A108" s="54"/>
      <c r="B108" s="165"/>
      <c r="C108" s="165"/>
      <c r="D108" s="165"/>
      <c r="E108" s="165"/>
      <c r="F108" s="166"/>
      <c r="G108" s="167"/>
      <c r="H108" s="168"/>
      <c r="I108" s="167"/>
      <c r="J108" s="168"/>
      <c r="K108" s="167"/>
      <c r="L108" s="168"/>
      <c r="M108" s="167"/>
      <c r="N108" s="168"/>
      <c r="O108" s="167"/>
      <c r="P108" s="168"/>
      <c r="Q108" s="167"/>
      <c r="R108" s="168"/>
      <c r="S108" s="167"/>
      <c r="T108" s="168"/>
      <c r="U108" s="169"/>
      <c r="V108" s="168"/>
      <c r="W108" s="169"/>
      <c r="X108" s="168"/>
      <c r="Y108" s="167"/>
      <c r="Z108" s="168"/>
      <c r="AA108" s="167"/>
      <c r="AB108" s="166"/>
      <c r="AC108" s="165"/>
      <c r="AD108" s="168"/>
      <c r="AE108" s="170"/>
      <c r="AF108" s="171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178"/>
      <c r="BO108" s="175" t="str">
        <f>IF(BO107="","",BN107)</f>
        <v/>
      </c>
      <c r="BP108" s="175" t="s">
        <v>362</v>
      </c>
      <c r="BQ108" s="197"/>
      <c r="BT108" s="175">
        <f>IF(BT107="","",BS107)</f>
        <v>53</v>
      </c>
      <c r="BU108" s="175">
        <v>53.0</v>
      </c>
      <c r="BV108" s="196"/>
      <c r="BW108" s="178"/>
      <c r="BY108" s="160" t="str">
        <f>IF(BY107="","",BX107)</f>
        <v> </v>
      </c>
      <c r="BZ108" s="160" t="str">
        <f t="shared" si="34"/>
        <v> </v>
      </c>
      <c r="CA108" s="200"/>
      <c r="CB108" s="74" t="str">
        <f t="shared" si="35"/>
        <v>св</v>
      </c>
      <c r="CC108" s="200"/>
      <c r="CD108" s="243"/>
      <c r="CG108" s="180" t="str">
        <f>IF(CG107="","",CF107)</f>
        <v> </v>
      </c>
      <c r="CH108" s="200" t="s">
        <v>361</v>
      </c>
      <c r="CI108" s="182"/>
      <c r="CJ108" s="49" t="s">
        <v>362</v>
      </c>
      <c r="CK108" s="235"/>
      <c r="CL108" s="180" t="str">
        <f>IF(CL107="","",CK107)</f>
        <v> </v>
      </c>
      <c r="CM108" s="49" t="s">
        <v>361</v>
      </c>
      <c r="CN108" s="49"/>
      <c r="CQ108" s="180" t="str">
        <f>IF(CQ107="","",CP107)</f>
        <v> </v>
      </c>
      <c r="CR108" s="49" t="s">
        <v>361</v>
      </c>
      <c r="CS108" s="234"/>
      <c r="CV108" s="180" t="str">
        <f>IF(CV107="","",CU107)</f>
        <v> </v>
      </c>
      <c r="CW108" s="49" t="s">
        <v>361</v>
      </c>
      <c r="CX108" s="49"/>
      <c r="CY108" s="49" t="s">
        <v>362</v>
      </c>
      <c r="CZ108" s="49"/>
      <c r="DA108" s="180" t="str">
        <f>IF(DA107="","",CZ107)</f>
        <v> </v>
      </c>
      <c r="DB108" s="49" t="s">
        <v>361</v>
      </c>
      <c r="DC108" s="49"/>
      <c r="DD108" s="49" t="s">
        <v>362</v>
      </c>
      <c r="DE108" s="49"/>
      <c r="DF108" s="49"/>
      <c r="DG108" s="49"/>
      <c r="DH108" s="49"/>
    </row>
    <row r="109" ht="13.5" customHeight="1">
      <c r="A109" s="54"/>
      <c r="B109" s="187">
        <v>52.0</v>
      </c>
      <c r="C109" s="188" t="str">
        <f>(VLOOKUP($B109,'Пр.взв'!$D$6:$J$63,2,0))</f>
        <v>РУШЕВ Николай</v>
      </c>
      <c r="D109" s="189" t="str">
        <f>(VLOOKUP($B109,'Пр.взв'!$D$6:$J$63,5,0))</f>
        <v>КМС</v>
      </c>
      <c r="E109" s="190" t="str">
        <f>(VLOOKUP($B109,'Пр.взв'!$D$6:$M$63,8,0))</f>
        <v>Москва</v>
      </c>
      <c r="F109" s="130">
        <f>B111</f>
        <v>53</v>
      </c>
      <c r="G109" s="134"/>
      <c r="H109" s="132">
        <v>50.0</v>
      </c>
      <c r="I109" s="134"/>
      <c r="J109" s="133" t="str">
        <f>IF(H109="Х","Х",IF($AC109&lt;6," ","Х"))</f>
        <v> </v>
      </c>
      <c r="K109" s="134"/>
      <c r="L109" s="133" t="str">
        <f>IF(J109="Х","Х",IF(K109&lt;3," ",IF($AC109&lt;6," ","Х")))</f>
        <v> </v>
      </c>
      <c r="M109" s="134"/>
      <c r="N109" s="133" t="str">
        <f>IF(L109="Х","Х",IF(M109&lt;3," ",IF($AC109&lt;6," ","Х")))</f>
        <v> </v>
      </c>
      <c r="O109" s="134"/>
      <c r="P109" s="133" t="str">
        <f>IF(N109="Х","Х",IF(O109&lt;3," ",IF($AC109&lt;6," ","Х")))</f>
        <v> </v>
      </c>
      <c r="Q109" s="134"/>
      <c r="R109" s="133" t="str">
        <f>IF(P109="Х","Х",IF(Q109&lt;3," ",IF($AC109&lt;6," ","Х")))</f>
        <v> </v>
      </c>
      <c r="S109" s="134"/>
      <c r="T109" s="133" t="str">
        <f>IF(R109="Х","Х",IF(S109&lt;3," ",IF($AC109&lt;6," ","Х")))</f>
        <v> </v>
      </c>
      <c r="U109" s="135"/>
      <c r="V109" s="133" t="str">
        <f>IF(T109="Х","Х",IF(U109&lt;3," ",IF($AC109&lt;6," ","Х")))</f>
        <v> </v>
      </c>
      <c r="W109" s="135"/>
      <c r="X109" s="133" t="str">
        <f>IF(V109="А1",$AZ$7,IF(V109="Б2",$AZ$6,IF(V109="Б1",$BA$7,IF(V109="А2",$BA$6,IF(V109="Х","Х",IF(V109&lt;6," "," "))))))</f>
        <v> </v>
      </c>
      <c r="Y109" s="136"/>
      <c r="Z109" s="133" t="str">
        <f>IF(V109="Х","Х",IF(ISBLANK(Y109),"",IF(Y109&gt;2.5," ",IF(B109=BB$6,BB$7,BB$6))))</f>
        <v/>
      </c>
      <c r="AA109" s="136"/>
      <c r="AB109" s="240" t="str">
        <f>IF(H109="Х",F$5,IF(J109="Х",H$5,IF(L109="Х",J$5,IF(N109="Х",L$5,IF(P109="Х",N$5,IF(R109="Х",P$5,IF(T109="Х",R$5,IF(X109="Х",T$5,""))))))))</f>
        <v/>
      </c>
      <c r="AC109" s="138">
        <f>SUM(G109+I109+K109+M109+O109+Q109+S109+U109+Y109+AA109)</f>
        <v>0</v>
      </c>
      <c r="AD109" s="241" t="str">
        <f>AF109</f>
        <v>1-54</v>
      </c>
      <c r="AE109" s="140" t="str">
        <f>AD109</f>
        <v>1-54</v>
      </c>
      <c r="AF109" s="141" t="str">
        <f>COUNTIF(AG$6:AG$148,"&gt;"&amp;AG$6:AG$148)+1&amp;REPT("-"&amp;COUNTIF(AG$6:AG$148,"&gt;="&amp;AG$6:AG$148),COUNTIF(AG$6:AG$148,AG109)&gt;1)</f>
        <v>1-54</v>
      </c>
      <c r="AG109" s="142">
        <f>(AR109*100)+(AP109*10)-AC109</f>
        <v>1280</v>
      </c>
      <c r="AH109" s="143" t="str">
        <f>IF(OR(F109="Х",F109="св")," ",IF(AND(G109&gt;=0,G109&lt;3),"1"," "))</f>
        <v>1</v>
      </c>
      <c r="AI109" s="90" t="str">
        <f>IF(OR(H109="Х",H109="св")," ",IF(AND(I109&gt;=0,I109&lt;3),"1"," "))</f>
        <v>1</v>
      </c>
      <c r="AJ109" s="90" t="str">
        <f>IF(OR(J109="Х",J109="св")," ",IF(AND(K109&gt;=0,K109&lt;3),"1"," "))</f>
        <v>1</v>
      </c>
      <c r="AK109" s="90" t="str">
        <f>IF(OR(L109="Х",L109="св")," ",IF(AND(M109&gt;=0,M109&lt;3),"1"," "))</f>
        <v>1</v>
      </c>
      <c r="AL109" s="90" t="str">
        <f>IF(OR(N109="Х",N109="св")," ",IF(AND(O109&gt;=0,O109&lt;3),"1"," "))</f>
        <v>1</v>
      </c>
      <c r="AM109" s="90" t="str">
        <f>IF(OR(P109="Х",P109="св")," ",IF(AND(Q109&gt;=0,Q109&lt;3),"1"," "))</f>
        <v>1</v>
      </c>
      <c r="AN109" s="90" t="str">
        <f>IF(OR(R109="Х",R109="св")," ",IF(AND(S109&gt;=0,S109&lt;3),"1"," "))</f>
        <v>1</v>
      </c>
      <c r="AO109" s="90" t="str">
        <f>IF(OR(T109="Х",T109="св")," ",IF(AND(U109&gt;=0,U109&lt;3),"1"," "))</f>
        <v>1</v>
      </c>
      <c r="AP109" s="90">
        <f>COUNTIF(AH109:AO110,1)</f>
        <v>8</v>
      </c>
      <c r="AQ109" s="90">
        <f>AG109-AC109</f>
        <v>1280</v>
      </c>
      <c r="AR109" s="144">
        <f>IF(F109=0,0,IF(F109="Х",1,IF(H109="Х",2,IF(J109="Х",3,IF(L109="Х",4,IF(N109="Х",5,IF(P109="Х",6,IF(R109="Х",7,IF(T109="Х",8,IF(V109="Х",9,IF(Y109&gt;2.5,10,IF(AA109&gt;2.5,11,IF(AA109&gt;=0,12,IF(AA109=" ",0,))))))))))))))</f>
        <v>12</v>
      </c>
      <c r="AS109" s="90" t="str">
        <f>COUNTIF(AG$6:AG$134,"&gt;"&amp;AG$6:AG$134)+1&amp;REPT("-"&amp;COUNTIF(AG$6:AG$134,"&gt;="&amp;AG$6:AG$134),COUNTIF(AG$6:AG$134,AG109)&gt;1)</f>
        <v>1-54</v>
      </c>
      <c r="AT109" s="143" t="str">
        <f t="shared" ref="AT109:AW109" si="57">COUNTIF(AU$6:AU$134,"&gt;"&amp;AU$6:AU$134)+1&amp;REPT("-"&amp;COUNTIF(AU$6:AU$134,"&gt;="&amp;AU$6:AU$134),COUNTIF(AU$6:AU$134,AU109)&gt;1)</f>
        <v>1-64</v>
      </c>
      <c r="AU109" s="143" t="str">
        <f t="shared" si="57"/>
        <v>1-0</v>
      </c>
      <c r="AV109" s="143" t="str">
        <f t="shared" si="57"/>
        <v>1</v>
      </c>
      <c r="AW109" s="143" t="str">
        <f t="shared" si="57"/>
        <v>13</v>
      </c>
      <c r="AX109" s="145">
        <f>IF(X109="Х","Х",IF(Y109&lt;3,B109,"Х"))</f>
        <v>52</v>
      </c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195">
        <v>52.0</v>
      </c>
      <c r="BN109" s="196">
        <v>53.0</v>
      </c>
      <c r="BO109" s="153">
        <f>IF(BM109&lt;BN109,BM109,"")</f>
        <v>52</v>
      </c>
      <c r="BP109" s="196">
        <v>52.0</v>
      </c>
      <c r="BQ109" s="197"/>
      <c r="BR109" s="198">
        <v>52.0</v>
      </c>
      <c r="BS109" s="196">
        <v>50.0</v>
      </c>
      <c r="BT109" s="175" t="str">
        <f>IF(BR109&lt;BS109,BR109,"")</f>
        <v/>
      </c>
      <c r="BU109" s="196" t="s">
        <v>362</v>
      </c>
      <c r="BV109" s="196"/>
      <c r="BW109" s="199">
        <v>52.0</v>
      </c>
      <c r="BX109" s="74" t="s">
        <v>361</v>
      </c>
      <c r="BY109" s="160">
        <f t="array" ref="BY109">IF(BW109&lt;BX109,BW109,"")</f>
        <v>52</v>
      </c>
      <c r="BZ109" s="160">
        <f t="shared" si="34"/>
        <v>52</v>
      </c>
      <c r="CA109" s="74"/>
      <c r="CB109" s="74" t="str">
        <f t="shared" si="35"/>
        <v>св</v>
      </c>
      <c r="CC109" s="200"/>
      <c r="CD109" s="243"/>
      <c r="CE109" s="200">
        <v>52.0</v>
      </c>
      <c r="CF109" s="25" t="s">
        <v>361</v>
      </c>
      <c r="CG109" s="153">
        <f t="array" ref="CG109">IF(CE109&lt;CF109,CE109,"")</f>
        <v>52</v>
      </c>
      <c r="CH109" s="74">
        <v>52.0</v>
      </c>
      <c r="CI109" s="182"/>
      <c r="CJ109" s="93">
        <v>52.0</v>
      </c>
      <c r="CK109" s="233" t="s">
        <v>361</v>
      </c>
      <c r="CL109" s="153">
        <f t="array" ref="CL109">IF(CJ109&lt;CK109,CJ109,"")</f>
        <v>52</v>
      </c>
      <c r="CM109" s="49">
        <v>52.0</v>
      </c>
      <c r="CN109" s="49"/>
      <c r="CO109" s="74">
        <v>52.0</v>
      </c>
      <c r="CP109" s="200" t="s">
        <v>361</v>
      </c>
      <c r="CQ109" s="153">
        <f t="array" ref="CQ109">IF(CO109&lt;CP109,CO109,"")</f>
        <v>52</v>
      </c>
      <c r="CR109" s="93">
        <v>52.0</v>
      </c>
      <c r="CS109" s="234"/>
      <c r="CT109" s="200">
        <v>52.0</v>
      </c>
      <c r="CU109" s="74" t="s">
        <v>361</v>
      </c>
      <c r="CV109" s="153">
        <f t="array" ref="CV109">IF(CT109&lt;CU109,CT109,"")</f>
        <v>52</v>
      </c>
      <c r="CW109" s="49">
        <v>52.0</v>
      </c>
      <c r="CX109" s="49"/>
      <c r="CY109" s="49">
        <v>52.0</v>
      </c>
      <c r="CZ109" s="49" t="s">
        <v>361</v>
      </c>
      <c r="DA109" s="153">
        <f t="array" ref="DA109">IF(CY109&lt;CZ109,CY109,"")</f>
        <v>52</v>
      </c>
      <c r="DB109" s="49">
        <v>52.0</v>
      </c>
      <c r="DC109" s="49"/>
      <c r="DD109" s="49">
        <v>52.0</v>
      </c>
      <c r="DE109" s="49"/>
      <c r="DF109" s="49"/>
      <c r="DG109" s="49"/>
      <c r="DH109" s="49"/>
    </row>
    <row r="110" ht="13.5" customHeight="1">
      <c r="A110" s="54"/>
      <c r="B110" s="165"/>
      <c r="C110" s="165"/>
      <c r="D110" s="165"/>
      <c r="E110" s="165"/>
      <c r="F110" s="166"/>
      <c r="G110" s="167"/>
      <c r="H110" s="168"/>
      <c r="I110" s="167"/>
      <c r="J110" s="168"/>
      <c r="K110" s="167"/>
      <c r="L110" s="168"/>
      <c r="M110" s="167"/>
      <c r="N110" s="168"/>
      <c r="O110" s="167"/>
      <c r="P110" s="168"/>
      <c r="Q110" s="167"/>
      <c r="R110" s="168"/>
      <c r="S110" s="167"/>
      <c r="T110" s="168"/>
      <c r="U110" s="169"/>
      <c r="V110" s="168"/>
      <c r="W110" s="169"/>
      <c r="X110" s="168"/>
      <c r="Y110" s="167"/>
      <c r="Z110" s="168"/>
      <c r="AA110" s="167"/>
      <c r="AB110" s="166"/>
      <c r="AC110" s="165"/>
      <c r="AD110" s="168"/>
      <c r="AE110" s="170"/>
      <c r="AF110" s="171"/>
      <c r="AG110" s="113"/>
      <c r="AH110" s="113"/>
      <c r="AI110" s="113"/>
      <c r="AJ110" s="113"/>
      <c r="AK110" s="113"/>
      <c r="AL110" s="113"/>
      <c r="AM110" s="113"/>
      <c r="AN110" s="113"/>
      <c r="AO110" s="113"/>
      <c r="AP110" s="113"/>
      <c r="AQ110" s="113"/>
      <c r="AR110" s="113"/>
      <c r="AS110" s="113"/>
      <c r="AT110" s="113"/>
      <c r="AU110" s="113"/>
      <c r="AV110" s="113"/>
      <c r="AW110" s="113"/>
      <c r="AY110" s="49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178"/>
      <c r="BO110" s="175">
        <f>IF(BO109="","",BN109)</f>
        <v>53</v>
      </c>
      <c r="BP110" s="175">
        <v>53.0</v>
      </c>
      <c r="BQ110" s="197"/>
      <c r="BT110" s="175" t="str">
        <f>IF(BT109="","",BS109)</f>
        <v/>
      </c>
      <c r="BU110" s="175" t="s">
        <v>362</v>
      </c>
      <c r="BV110" s="196"/>
      <c r="BW110" s="178"/>
      <c r="BY110" s="160" t="str">
        <f>IF(BY109="","",BX109)</f>
        <v> </v>
      </c>
      <c r="BZ110" s="160" t="str">
        <f t="shared" si="34"/>
        <v> </v>
      </c>
      <c r="CA110" s="200"/>
      <c r="CB110" s="74" t="str">
        <f t="shared" si="35"/>
        <v>св</v>
      </c>
      <c r="CC110" s="200"/>
      <c r="CD110" s="243"/>
      <c r="CG110" s="180" t="str">
        <f>IF(CG109="","",CF109)</f>
        <v> </v>
      </c>
      <c r="CH110" s="200" t="s">
        <v>361</v>
      </c>
      <c r="CI110" s="182"/>
      <c r="CJ110" s="49" t="s">
        <v>362</v>
      </c>
      <c r="CK110" s="235"/>
      <c r="CL110" s="180" t="str">
        <f>IF(CL109="","",CK109)</f>
        <v> </v>
      </c>
      <c r="CM110" s="49" t="s">
        <v>361</v>
      </c>
      <c r="CN110" s="49"/>
      <c r="CQ110" s="180" t="str">
        <f>IF(CQ109="","",CP109)</f>
        <v> </v>
      </c>
      <c r="CR110" s="49" t="s">
        <v>361</v>
      </c>
      <c r="CS110" s="234"/>
      <c r="CV110" s="180" t="str">
        <f>IF(CV109="","",CU109)</f>
        <v> </v>
      </c>
      <c r="CW110" s="49" t="s">
        <v>361</v>
      </c>
      <c r="CX110" s="49"/>
      <c r="CY110" s="49" t="s">
        <v>362</v>
      </c>
      <c r="CZ110" s="49"/>
      <c r="DA110" s="180" t="str">
        <f>IF(DA109="","",CZ109)</f>
        <v> </v>
      </c>
      <c r="DB110" s="49" t="s">
        <v>361</v>
      </c>
      <c r="DC110" s="49"/>
      <c r="DD110" s="49" t="s">
        <v>362</v>
      </c>
      <c r="DE110" s="49"/>
      <c r="DF110" s="49"/>
      <c r="DG110" s="49"/>
      <c r="DH110" s="49"/>
    </row>
    <row r="111" ht="13.5" customHeight="1">
      <c r="A111" s="54"/>
      <c r="B111" s="187">
        <v>53.0</v>
      </c>
      <c r="C111" s="188" t="str">
        <f>(VLOOKUP($B111,'Пр.взв'!$D$6:$J$63,2,0))</f>
        <v>ГОЛОВ Глеб</v>
      </c>
      <c r="D111" s="189" t="str">
        <f>(VLOOKUP($B111,'Пр.взв'!$D$6:$J$63,5,0))</f>
        <v>КМС</v>
      </c>
      <c r="E111" s="190" t="str">
        <f>(VLOOKUP($B111,'Пр.взв'!$D$6:$M$63,8,0))</f>
        <v>Чувашская</v>
      </c>
      <c r="F111" s="130">
        <f>B109</f>
        <v>52</v>
      </c>
      <c r="G111" s="255"/>
      <c r="H111" s="132">
        <v>51.0</v>
      </c>
      <c r="I111" s="255"/>
      <c r="J111" s="133" t="str">
        <f>IF(H111="Х","Х",IF($AC111&lt;6," ","Х"))</f>
        <v> </v>
      </c>
      <c r="K111" s="134"/>
      <c r="L111" s="133" t="str">
        <f>IF(J111="Х","Х",IF(K111&lt;3," ",IF($AC111&lt;6," ","Х")))</f>
        <v> </v>
      </c>
      <c r="M111" s="134"/>
      <c r="N111" s="133" t="str">
        <f>IF(L111="Х","Х",IF(M111&lt;3," ",IF($AC111&lt;6," ","Х")))</f>
        <v> </v>
      </c>
      <c r="O111" s="134"/>
      <c r="P111" s="133" t="str">
        <f>IF(N111="Х","Х",IF(O111&lt;3," ",IF($AC111&lt;6," ","Х")))</f>
        <v> </v>
      </c>
      <c r="Q111" s="134"/>
      <c r="R111" s="133" t="str">
        <f>IF(P111="Х","Х",IF(Q111&lt;3," ",IF($AC111&lt;6," ","Х")))</f>
        <v> </v>
      </c>
      <c r="S111" s="134"/>
      <c r="T111" s="133" t="str">
        <f>IF(R111="Х","Х",IF(S111&lt;3," ",IF($AC111&lt;6," ","Х")))</f>
        <v> </v>
      </c>
      <c r="U111" s="135"/>
      <c r="V111" s="133" t="str">
        <f>IF(T111="Х","Х",IF(U111&lt;3," ",IF($AC111&lt;6," ","Х")))</f>
        <v> </v>
      </c>
      <c r="W111" s="135"/>
      <c r="X111" s="133" t="str">
        <f>IF(V111="А1",$AZ$7,IF(V111="Б2",$AZ$6,IF(V111="Б1",$BA$7,IF(V111="А2",$BA$6,IF(V111="Х","Х",IF(V111&lt;6," "," "))))))</f>
        <v> </v>
      </c>
      <c r="Y111" s="136"/>
      <c r="Z111" s="133" t="str">
        <f>IF(V111="Х","Х",IF(ISBLANK(Y111),"",IF(Y111&gt;2.5," ",IF(B111=BB$6,BB$7,BB$6))))</f>
        <v/>
      </c>
      <c r="AA111" s="136"/>
      <c r="AB111" s="240" t="str">
        <f>IF(H111="Х",F$5,IF(J111="Х",H$5,IF(L111="Х",J$5,IF(N111="Х",L$5,IF(P111="Х",N$5,IF(R111="Х",P$5,IF(T111="Х",R$5,IF(X111="Х",T$5,""))))))))</f>
        <v/>
      </c>
      <c r="AC111" s="138">
        <f>SUM(G111+I111+K111+M111+O111+Q111+S111+U111+Y111+AA111)</f>
        <v>0</v>
      </c>
      <c r="AD111" s="241" t="str">
        <f>AF111</f>
        <v>1-54</v>
      </c>
      <c r="AE111" s="140" t="str">
        <f>AD111</f>
        <v>1-54</v>
      </c>
      <c r="AF111" s="141" t="str">
        <f>COUNTIF(AG$6:AG$148,"&gt;"&amp;AG$6:AG$148)+1&amp;REPT("-"&amp;COUNTIF(AG$6:AG$148,"&gt;="&amp;AG$6:AG$148),COUNTIF(AG$6:AG$148,AG111)&gt;1)</f>
        <v>1-54</v>
      </c>
      <c r="AG111" s="142">
        <f>(AR111*100)+(AP111*10)-AC111</f>
        <v>1280</v>
      </c>
      <c r="AH111" s="143" t="str">
        <f>IF(OR(F111="Х",F111="св")," ",IF(AND(G111&gt;=0,G111&lt;3),"1"," "))</f>
        <v>1</v>
      </c>
      <c r="AI111" s="90" t="str">
        <f>IF(OR(H111="Х",H111="св")," ",IF(AND(I111&gt;=0,I111&lt;3),"1"," "))</f>
        <v>1</v>
      </c>
      <c r="AJ111" s="90" t="str">
        <f>IF(OR(J111="Х",J111="св")," ",IF(AND(K111&gt;=0,K111&lt;3),"1"," "))</f>
        <v>1</v>
      </c>
      <c r="AK111" s="90" t="str">
        <f>IF(OR(L111="Х",L111="св")," ",IF(AND(M111&gt;=0,M111&lt;3),"1"," "))</f>
        <v>1</v>
      </c>
      <c r="AL111" s="90" t="str">
        <f>IF(OR(N111="Х",N111="св")," ",IF(AND(O111&gt;=0,O111&lt;3),"1"," "))</f>
        <v>1</v>
      </c>
      <c r="AM111" s="90" t="str">
        <f>IF(OR(P111="Х",P111="св")," ",IF(AND(Q111&gt;=0,Q111&lt;3),"1"," "))</f>
        <v>1</v>
      </c>
      <c r="AN111" s="90" t="str">
        <f>IF(OR(R111="Х",R111="св")," ",IF(AND(S111&gt;=0,S111&lt;3),"1"," "))</f>
        <v>1</v>
      </c>
      <c r="AO111" s="90" t="str">
        <f>IF(OR(T111="Х",T111="св")," ",IF(AND(U111&gt;=0,U111&lt;3),"1"," "))</f>
        <v>1</v>
      </c>
      <c r="AP111" s="90">
        <f>COUNTIF(AH111:AO112,1)</f>
        <v>8</v>
      </c>
      <c r="AQ111" s="90">
        <f>AG111-AC111</f>
        <v>1280</v>
      </c>
      <c r="AR111" s="144">
        <f>IF(F111=0,0,IF(F111="Х",1,IF(H111="Х",2,IF(J111="Х",3,IF(L111="Х",4,IF(N111="Х",5,IF(P111="Х",6,IF(R111="Х",7,IF(T111="Х",8,IF(V111="Х",9,IF(Y111&gt;2.5,10,IF(AA111&gt;2.5,11,IF(AA111&gt;=0,12,IF(AA111=" ",0,))))))))))))))</f>
        <v>12</v>
      </c>
      <c r="AS111" s="90" t="str">
        <f>COUNTIF(AG$6:AG$134,"&gt;"&amp;AG$6:AG$134)+1&amp;REPT("-"&amp;COUNTIF(AG$6:AG$134,"&gt;="&amp;AG$6:AG$134),COUNTIF(AG$6:AG$134,AG111)&gt;1)</f>
        <v>1-54</v>
      </c>
      <c r="AT111" s="143" t="str">
        <f t="shared" ref="AT111:AW111" si="58">COUNTIF(AU$6:AU$134,"&gt;"&amp;AU$6:AU$134)+1&amp;REPT("-"&amp;COUNTIF(AU$6:AU$134,"&gt;="&amp;AU$6:AU$134),COUNTIF(AU$6:AU$134,AU111)&gt;1)</f>
        <v>1-64</v>
      </c>
      <c r="AU111" s="143" t="str">
        <f t="shared" si="58"/>
        <v>1-0</v>
      </c>
      <c r="AV111" s="143" t="str">
        <f t="shared" si="58"/>
        <v>1</v>
      </c>
      <c r="AW111" s="143" t="str">
        <f t="shared" si="58"/>
        <v>12</v>
      </c>
      <c r="AX111" s="145">
        <f>IF(X111="Х","Х",IF(Y111&lt;3,B111,"Х"))</f>
        <v>53</v>
      </c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195">
        <v>53.0</v>
      </c>
      <c r="BN111" s="196">
        <v>52.0</v>
      </c>
      <c r="BO111" s="153" t="str">
        <f>IF(BM111&lt;BN111,BM111,"")</f>
        <v/>
      </c>
      <c r="BP111" s="196" t="s">
        <v>362</v>
      </c>
      <c r="BQ111" s="197"/>
      <c r="BR111" s="198">
        <v>53.0</v>
      </c>
      <c r="BS111" s="196">
        <v>51.0</v>
      </c>
      <c r="BT111" s="175" t="str">
        <f>IF(BR111&lt;BS111,BR111,"")</f>
        <v/>
      </c>
      <c r="BU111" s="196" t="s">
        <v>362</v>
      </c>
      <c r="BV111" s="196"/>
      <c r="BW111" s="199">
        <v>53.0</v>
      </c>
      <c r="BX111" s="74" t="s">
        <v>361</v>
      </c>
      <c r="BY111" s="160">
        <f t="array" ref="BY111">IF(BW111&lt;BX111,BW111,"")</f>
        <v>53</v>
      </c>
      <c r="BZ111" s="160">
        <f t="shared" si="34"/>
        <v>53</v>
      </c>
      <c r="CA111" s="74"/>
      <c r="CB111" s="74" t="str">
        <f t="shared" si="35"/>
        <v>св</v>
      </c>
      <c r="CC111" s="200"/>
      <c r="CD111" s="243"/>
      <c r="CE111" s="200">
        <v>53.0</v>
      </c>
      <c r="CF111" s="25" t="s">
        <v>361</v>
      </c>
      <c r="CG111" s="153">
        <f t="array" ref="CG111">IF(CE111&lt;CF111,CE111,"")</f>
        <v>53</v>
      </c>
      <c r="CH111" s="74">
        <v>53.0</v>
      </c>
      <c r="CI111" s="182"/>
      <c r="CJ111" s="93">
        <v>53.0</v>
      </c>
      <c r="CK111" s="233" t="s">
        <v>361</v>
      </c>
      <c r="CL111" s="153">
        <f t="array" ref="CL111">IF(CJ111&lt;CK111,CJ111,"")</f>
        <v>53</v>
      </c>
      <c r="CM111" s="49">
        <v>53.0</v>
      </c>
      <c r="CN111" s="49"/>
      <c r="CO111" s="74">
        <v>53.0</v>
      </c>
      <c r="CP111" s="200" t="s">
        <v>361</v>
      </c>
      <c r="CQ111" s="153">
        <f t="array" ref="CQ111">IF(CO111&lt;CP111,CO111,"")</f>
        <v>53</v>
      </c>
      <c r="CR111" s="93">
        <v>53.0</v>
      </c>
      <c r="CS111" s="234"/>
      <c r="CT111" s="200">
        <v>53.0</v>
      </c>
      <c r="CU111" s="74" t="s">
        <v>361</v>
      </c>
      <c r="CV111" s="153">
        <f t="array" ref="CV111">IF(CT111&lt;CU111,CT111,"")</f>
        <v>53</v>
      </c>
      <c r="CW111" s="49">
        <v>53.0</v>
      </c>
      <c r="CX111" s="49"/>
      <c r="CY111" s="49">
        <v>53.0</v>
      </c>
      <c r="CZ111" s="49" t="s">
        <v>361</v>
      </c>
      <c r="DA111" s="153">
        <f t="array" ref="DA111">IF(CY111&lt;CZ111,CY111,"")</f>
        <v>53</v>
      </c>
      <c r="DB111" s="49">
        <v>53.0</v>
      </c>
      <c r="DC111" s="49"/>
      <c r="DD111" s="49">
        <v>53.0</v>
      </c>
      <c r="DE111" s="49"/>
      <c r="DF111" s="49"/>
      <c r="DG111" s="49"/>
      <c r="DH111" s="49"/>
    </row>
    <row r="112" ht="13.5" customHeight="1">
      <c r="A112" s="54"/>
      <c r="B112" s="165"/>
      <c r="C112" s="165"/>
      <c r="D112" s="165"/>
      <c r="E112" s="165"/>
      <c r="F112" s="166"/>
      <c r="G112" s="167"/>
      <c r="H112" s="168"/>
      <c r="I112" s="167"/>
      <c r="J112" s="168"/>
      <c r="K112" s="167"/>
      <c r="L112" s="168"/>
      <c r="M112" s="167"/>
      <c r="N112" s="168"/>
      <c r="O112" s="167"/>
      <c r="P112" s="168"/>
      <c r="Q112" s="167"/>
      <c r="R112" s="168"/>
      <c r="S112" s="167"/>
      <c r="T112" s="168"/>
      <c r="U112" s="169"/>
      <c r="V112" s="168"/>
      <c r="W112" s="169"/>
      <c r="X112" s="168"/>
      <c r="Y112" s="167"/>
      <c r="Z112" s="168"/>
      <c r="AA112" s="167"/>
      <c r="AB112" s="166"/>
      <c r="AC112" s="165"/>
      <c r="AD112" s="168"/>
      <c r="AE112" s="170"/>
      <c r="AF112" s="171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Y112" s="49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178"/>
      <c r="BO112" s="175" t="str">
        <f>IF(BO111="","",BN111)</f>
        <v/>
      </c>
      <c r="BP112" s="175" t="s">
        <v>362</v>
      </c>
      <c r="BQ112" s="197"/>
      <c r="BT112" s="175" t="str">
        <f>IF(BT111="","",BS111)</f>
        <v/>
      </c>
      <c r="BU112" s="175" t="s">
        <v>362</v>
      </c>
      <c r="BV112" s="196"/>
      <c r="BW112" s="178"/>
      <c r="BY112" s="160" t="str">
        <f>IF(BY111="","",BX111)</f>
        <v> </v>
      </c>
      <c r="BZ112" s="160" t="str">
        <f t="shared" si="34"/>
        <v> </v>
      </c>
      <c r="CA112" s="200"/>
      <c r="CB112" s="74" t="str">
        <f t="shared" si="35"/>
        <v>св</v>
      </c>
      <c r="CC112" s="200"/>
      <c r="CD112" s="243"/>
      <c r="CG112" s="180" t="str">
        <f>IF(CG111="","",CF111)</f>
        <v> </v>
      </c>
      <c r="CH112" s="200" t="s">
        <v>361</v>
      </c>
      <c r="CI112" s="182"/>
      <c r="CJ112" s="49" t="s">
        <v>362</v>
      </c>
      <c r="CK112" s="235"/>
      <c r="CL112" s="180" t="str">
        <f>IF(CL111="","",CK111)</f>
        <v> </v>
      </c>
      <c r="CM112" s="49" t="s">
        <v>361</v>
      </c>
      <c r="CN112" s="49"/>
      <c r="CQ112" s="180" t="str">
        <f>IF(CQ111="","",CP111)</f>
        <v> </v>
      </c>
      <c r="CR112" s="49" t="s">
        <v>361</v>
      </c>
      <c r="CS112" s="234"/>
      <c r="CV112" s="180" t="str">
        <f>IF(CV111="","",CU111)</f>
        <v> </v>
      </c>
      <c r="CW112" s="49" t="s">
        <v>361</v>
      </c>
      <c r="CX112" s="49"/>
      <c r="CY112" s="49" t="s">
        <v>362</v>
      </c>
      <c r="CZ112" s="49"/>
      <c r="DA112" s="180" t="str">
        <f>IF(DA111="","",CZ111)</f>
        <v> </v>
      </c>
      <c r="DB112" s="49" t="s">
        <v>361</v>
      </c>
      <c r="DC112" s="49"/>
      <c r="DD112" s="49" t="s">
        <v>362</v>
      </c>
      <c r="DE112" s="49"/>
      <c r="DF112" s="49"/>
      <c r="DG112" s="49"/>
      <c r="DH112" s="49"/>
    </row>
    <row r="113" ht="13.5" customHeight="1">
      <c r="A113" s="54"/>
      <c r="B113" s="187">
        <v>54.0</v>
      </c>
      <c r="C113" s="188" t="str">
        <f>(VLOOKUP($B113,'Пр.взв'!$D$6:$J$63,2,0))</f>
        <v>ЛОГИНОВ  Владимир </v>
      </c>
      <c r="D113" s="189" t="str">
        <f>(VLOOKUP($B113,'Пр.взв'!$D$6:$J$63,5,0))</f>
        <v>КМС</v>
      </c>
      <c r="E113" s="190" t="str">
        <f>(VLOOKUP($B113,'Пр.взв'!$D$6:$M$63,8,0))</f>
        <v>Саратовская</v>
      </c>
      <c r="F113" s="130">
        <f>B115</f>
        <v>55</v>
      </c>
      <c r="G113" s="134"/>
      <c r="H113" s="132">
        <v>56.0</v>
      </c>
      <c r="I113" s="134"/>
      <c r="J113" s="133" t="str">
        <f>IF(H113="Х","Х",IF($AC113&lt;6," ","Х"))</f>
        <v> </v>
      </c>
      <c r="K113" s="134"/>
      <c r="L113" s="133" t="str">
        <f>IF(J113="Х","Х",IF(K113&lt;3," ",IF($AC113&lt;6," ","Х")))</f>
        <v> </v>
      </c>
      <c r="M113" s="134"/>
      <c r="N113" s="133" t="str">
        <f>IF(L113="Х","Х",IF(M113&lt;3," ",IF($AC113&lt;6," ","Х")))</f>
        <v> </v>
      </c>
      <c r="O113" s="134"/>
      <c r="P113" s="133" t="str">
        <f>IF(N113="Х","Х",IF(O113&lt;3," ",IF($AC113&lt;6," ","Х")))</f>
        <v> </v>
      </c>
      <c r="Q113" s="134"/>
      <c r="R113" s="133" t="str">
        <f>IF(P113="Х","Х",IF(Q113&lt;3," ",IF($AC113&lt;6," ","Х")))</f>
        <v> </v>
      </c>
      <c r="S113" s="134"/>
      <c r="T113" s="133" t="str">
        <f>IF(R113="Х","Х",IF(S113&lt;3," ",IF($AC113&lt;6," ","Х")))</f>
        <v> </v>
      </c>
      <c r="U113" s="135"/>
      <c r="V113" s="133" t="str">
        <f>IF(T113="Х","Х",IF(U113&lt;3," ",IF($AC113&lt;6," ","Х")))</f>
        <v> </v>
      </c>
      <c r="W113" s="135"/>
      <c r="X113" s="133" t="str">
        <f>IF(V113="А1",$AZ$7,IF(V113="Б2",$AZ$6,IF(V113="Б1",$BA$7,IF(V113="А2",$BA$6,IF(V113="Х","Х",IF(V113&lt;6," "," "))))))</f>
        <v> </v>
      </c>
      <c r="Y113" s="136"/>
      <c r="Z113" s="133" t="str">
        <f>IF(V113="Х","Х",IF(ISBLANK(Y113),"",IF(Y113&gt;2.5," ",IF(B113=BB$6,BB$7,BB$6))))</f>
        <v/>
      </c>
      <c r="AA113" s="136"/>
      <c r="AB113" s="240" t="str">
        <f>IF(H113="Х",F$5,IF(J113="Х",H$5,IF(L113="Х",J$5,IF(N113="Х",L$5,IF(P113="Х",N$5,IF(R113="Х",P$5,IF(T113="Х",R$5,IF(X113="Х",T$5,""))))))))</f>
        <v/>
      </c>
      <c r="AC113" s="138">
        <f>SUM(G113+I113+K113+M113+O113+Q113+S113+U113+Y113+AA113)</f>
        <v>0</v>
      </c>
      <c r="AD113" s="241" t="str">
        <f>AF113</f>
        <v>1-54</v>
      </c>
      <c r="AE113" s="140" t="str">
        <f>AD113</f>
        <v>1-54</v>
      </c>
      <c r="AF113" s="141" t="str">
        <f>COUNTIF(AG$6:AG$148,"&gt;"&amp;AG$6:AG$148)+1&amp;REPT("-"&amp;COUNTIF(AG$6:AG$148,"&gt;="&amp;AG$6:AG$148),COUNTIF(AG$6:AG$148,AG113)&gt;1)</f>
        <v>1-54</v>
      </c>
      <c r="AG113" s="142">
        <f>(AR113*100)+(AP113*10)-AC113</f>
        <v>1280</v>
      </c>
      <c r="AH113" s="143" t="str">
        <f>IF(OR(F113="Х",F113="св")," ",IF(AND(G113&gt;=0,G113&lt;3),"1"," "))</f>
        <v>1</v>
      </c>
      <c r="AI113" s="90" t="str">
        <f>IF(OR(H113="Х",H113="св")," ",IF(AND(I113&gt;=0,I113&lt;3),"1"," "))</f>
        <v>1</v>
      </c>
      <c r="AJ113" s="90" t="str">
        <f>IF(OR(J113="Х",J113="св")," ",IF(AND(K113&gt;=0,K113&lt;3),"1"," "))</f>
        <v>1</v>
      </c>
      <c r="AK113" s="90" t="str">
        <f>IF(OR(L113="Х",L113="св")," ",IF(AND(M113&gt;=0,M113&lt;3),"1"," "))</f>
        <v>1</v>
      </c>
      <c r="AL113" s="90" t="str">
        <f>IF(OR(N113="Х",N113="св")," ",IF(AND(O113&gt;=0,O113&lt;3),"1"," "))</f>
        <v>1</v>
      </c>
      <c r="AM113" s="90" t="str">
        <f>IF(OR(P113="Х",P113="св")," ",IF(AND(Q113&gt;=0,Q113&lt;3),"1"," "))</f>
        <v>1</v>
      </c>
      <c r="AN113" s="90" t="str">
        <f>IF(OR(R113="Х",R113="св")," ",IF(AND(S113&gt;=0,S113&lt;3),"1"," "))</f>
        <v>1</v>
      </c>
      <c r="AO113" s="90" t="str">
        <f>IF(OR(T113="Х",T113="св")," ",IF(AND(U113&gt;=0,U113&lt;3),"1"," "))</f>
        <v>1</v>
      </c>
      <c r="AP113" s="90">
        <f>COUNTIF(AH113:AO114,1)</f>
        <v>8</v>
      </c>
      <c r="AQ113" s="90">
        <f>AG113-AC113</f>
        <v>1280</v>
      </c>
      <c r="AR113" s="144">
        <f>IF(F113=0,0,IF(F113="Х",1,IF(H113="Х",2,IF(J113="Х",3,IF(L113="Х",4,IF(N113="Х",5,IF(P113="Х",6,IF(R113="Х",7,IF(T113="Х",8,IF(V113="Х",9,IF(Y113&gt;2.5,10,IF(AA113&gt;2.5,11,IF(AA113&gt;=0,12,IF(AA113=" ",0,))))))))))))))</f>
        <v>12</v>
      </c>
      <c r="AS113" s="90" t="str">
        <f>COUNTIF(AG$6:AG$134,"&gt;"&amp;AG$6:AG$134)+1&amp;REPT("-"&amp;COUNTIF(AG$6:AG$134,"&gt;="&amp;AG$6:AG$134),COUNTIF(AG$6:AG$134,AG113)&gt;1)</f>
        <v>1-54</v>
      </c>
      <c r="AT113" s="143" t="str">
        <f t="shared" ref="AT113:AW113" si="59">COUNTIF(AU$6:AU$134,"&gt;"&amp;AU$6:AU$134)+1&amp;REPT("-"&amp;COUNTIF(AU$6:AU$134,"&gt;="&amp;AU$6:AU$134),COUNTIF(AU$6:AU$134,AU113)&gt;1)</f>
        <v>1-64</v>
      </c>
      <c r="AU113" s="143" t="str">
        <f t="shared" si="59"/>
        <v>1-0</v>
      </c>
      <c r="AV113" s="143" t="str">
        <f t="shared" si="59"/>
        <v>1</v>
      </c>
      <c r="AW113" s="143" t="str">
        <f t="shared" si="59"/>
        <v>11</v>
      </c>
      <c r="AX113" s="145">
        <f>IF(X113="Х","Х",IF(Y113&lt;3,B113,"Х"))</f>
        <v>54</v>
      </c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195">
        <v>54.0</v>
      </c>
      <c r="BN113" s="196">
        <v>55.0</v>
      </c>
      <c r="BO113" s="153">
        <f>IF(BM113&lt;BN113,BM113,"")</f>
        <v>54</v>
      </c>
      <c r="BP113" s="196">
        <v>54.0</v>
      </c>
      <c r="BQ113" s="197"/>
      <c r="BR113" s="198">
        <v>54.0</v>
      </c>
      <c r="BS113" s="196">
        <v>56.0</v>
      </c>
      <c r="BT113" s="175">
        <f>IF(BR113&lt;BS113,BR113,"")</f>
        <v>54</v>
      </c>
      <c r="BU113" s="196">
        <v>54.0</v>
      </c>
      <c r="BV113" s="196"/>
      <c r="BW113" s="199">
        <v>54.0</v>
      </c>
      <c r="BX113" s="74" t="s">
        <v>361</v>
      </c>
      <c r="BY113" s="160">
        <f t="array" ref="BY113">IF(BW113&lt;BX113,BW113,"")</f>
        <v>54</v>
      </c>
      <c r="BZ113" s="160">
        <f t="shared" si="34"/>
        <v>54</v>
      </c>
      <c r="CA113" s="74"/>
      <c r="CB113" s="74" t="str">
        <f t="shared" si="35"/>
        <v>св</v>
      </c>
      <c r="CC113" s="200"/>
      <c r="CD113" s="243"/>
      <c r="CE113" s="200">
        <v>54.0</v>
      </c>
      <c r="CF113" s="25" t="s">
        <v>361</v>
      </c>
      <c r="CG113" s="153">
        <f t="array" ref="CG113">IF(CE113&lt;CF113,CE113,"")</f>
        <v>54</v>
      </c>
      <c r="CH113" s="74">
        <v>54.0</v>
      </c>
      <c r="CI113" s="182"/>
      <c r="CJ113" s="93">
        <v>54.0</v>
      </c>
      <c r="CK113" s="233" t="s">
        <v>361</v>
      </c>
      <c r="CL113" s="153">
        <f t="array" ref="CL113">IF(CJ113&lt;CK113,CJ113,"")</f>
        <v>54</v>
      </c>
      <c r="CM113" s="49">
        <v>54.0</v>
      </c>
      <c r="CN113" s="49"/>
      <c r="CO113" s="74">
        <v>54.0</v>
      </c>
      <c r="CP113" s="200" t="s">
        <v>361</v>
      </c>
      <c r="CQ113" s="153">
        <f t="array" ref="CQ113">IF(CO113&lt;CP113,CO113,"")</f>
        <v>54</v>
      </c>
      <c r="CR113" s="93">
        <v>54.0</v>
      </c>
      <c r="CS113" s="234"/>
      <c r="CT113" s="200">
        <v>54.0</v>
      </c>
      <c r="CU113" s="74" t="s">
        <v>361</v>
      </c>
      <c r="CV113" s="153">
        <f t="array" ref="CV113">IF(CT113&lt;CU113,CT113,"")</f>
        <v>54</v>
      </c>
      <c r="CW113" s="49">
        <v>54.0</v>
      </c>
      <c r="CX113" s="49"/>
      <c r="CY113" s="49">
        <v>54.0</v>
      </c>
      <c r="CZ113" s="49" t="s">
        <v>361</v>
      </c>
      <c r="DA113" s="153">
        <f t="array" ref="DA113">IF(CY113&lt;CZ113,CY113,"")</f>
        <v>54</v>
      </c>
      <c r="DB113" s="49">
        <v>54.0</v>
      </c>
      <c r="DC113" s="49"/>
      <c r="DD113" s="49">
        <v>54.0</v>
      </c>
      <c r="DE113" s="49"/>
      <c r="DF113" s="49"/>
      <c r="DG113" s="49"/>
      <c r="DH113" s="49"/>
    </row>
    <row r="114" ht="13.5" customHeight="1">
      <c r="A114" s="54"/>
      <c r="B114" s="165"/>
      <c r="C114" s="165"/>
      <c r="D114" s="165"/>
      <c r="E114" s="165"/>
      <c r="F114" s="166"/>
      <c r="G114" s="167"/>
      <c r="H114" s="168"/>
      <c r="I114" s="167"/>
      <c r="J114" s="168"/>
      <c r="K114" s="167"/>
      <c r="L114" s="168"/>
      <c r="M114" s="167"/>
      <c r="N114" s="168"/>
      <c r="O114" s="167"/>
      <c r="P114" s="168"/>
      <c r="Q114" s="167"/>
      <c r="R114" s="168"/>
      <c r="S114" s="167"/>
      <c r="T114" s="168"/>
      <c r="U114" s="169"/>
      <c r="V114" s="168"/>
      <c r="W114" s="169"/>
      <c r="X114" s="168"/>
      <c r="Y114" s="167"/>
      <c r="Z114" s="168"/>
      <c r="AA114" s="167"/>
      <c r="AB114" s="166"/>
      <c r="AC114" s="165"/>
      <c r="AD114" s="168"/>
      <c r="AE114" s="170"/>
      <c r="AF114" s="171"/>
      <c r="AG114" s="113"/>
      <c r="AH114" s="113"/>
      <c r="AI114" s="113"/>
      <c r="AJ114" s="113"/>
      <c r="AK114" s="113"/>
      <c r="AL114" s="113"/>
      <c r="AM114" s="113"/>
      <c r="AN114" s="113"/>
      <c r="AO114" s="113"/>
      <c r="AP114" s="113"/>
      <c r="AQ114" s="113"/>
      <c r="AR114" s="113"/>
      <c r="AS114" s="113"/>
      <c r="AT114" s="113"/>
      <c r="AU114" s="113"/>
      <c r="AV114" s="113"/>
      <c r="AW114" s="113"/>
      <c r="AY114" s="49"/>
      <c r="AZ114" s="49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9"/>
      <c r="BL114" s="49"/>
      <c r="BM114" s="178"/>
      <c r="BO114" s="175">
        <f>IF(BO113="","",BN113)</f>
        <v>55</v>
      </c>
      <c r="BP114" s="175">
        <v>55.0</v>
      </c>
      <c r="BQ114" s="197"/>
      <c r="BT114" s="175">
        <f>IF(BT113="","",BS113)</f>
        <v>56</v>
      </c>
      <c r="BU114" s="175">
        <v>56.0</v>
      </c>
      <c r="BV114" s="196"/>
      <c r="BW114" s="178"/>
      <c r="BY114" s="160" t="str">
        <f>IF(BY113="","",BX113)</f>
        <v> </v>
      </c>
      <c r="BZ114" s="160" t="str">
        <f t="shared" si="34"/>
        <v> </v>
      </c>
      <c r="CA114" s="200"/>
      <c r="CB114" s="74" t="str">
        <f t="shared" si="35"/>
        <v>св</v>
      </c>
      <c r="CC114" s="200"/>
      <c r="CD114" s="243"/>
      <c r="CG114" s="180" t="str">
        <f>IF(CG113="","",CF113)</f>
        <v> </v>
      </c>
      <c r="CH114" s="200" t="s">
        <v>361</v>
      </c>
      <c r="CI114" s="182"/>
      <c r="CJ114" s="49" t="s">
        <v>362</v>
      </c>
      <c r="CK114" s="235"/>
      <c r="CL114" s="180" t="str">
        <f>IF(CL113="","",CK113)</f>
        <v> </v>
      </c>
      <c r="CM114" s="49" t="s">
        <v>361</v>
      </c>
      <c r="CN114" s="49"/>
      <c r="CQ114" s="180" t="str">
        <f>IF(CQ113="","",CP113)</f>
        <v> </v>
      </c>
      <c r="CR114" s="49" t="s">
        <v>361</v>
      </c>
      <c r="CS114" s="234"/>
      <c r="CV114" s="180" t="str">
        <f>IF(CV113="","",CU113)</f>
        <v> </v>
      </c>
      <c r="CW114" s="49" t="s">
        <v>361</v>
      </c>
      <c r="CX114" s="49"/>
      <c r="CY114" s="49" t="s">
        <v>362</v>
      </c>
      <c r="CZ114" s="49"/>
      <c r="DA114" s="180" t="str">
        <f>IF(DA113="","",CZ113)</f>
        <v> </v>
      </c>
      <c r="DB114" s="49" t="s">
        <v>361</v>
      </c>
      <c r="DC114" s="49"/>
      <c r="DD114" s="49" t="s">
        <v>362</v>
      </c>
      <c r="DE114" s="49"/>
      <c r="DF114" s="49"/>
      <c r="DG114" s="49"/>
      <c r="DH114" s="49"/>
    </row>
    <row r="115" ht="13.5" customHeight="1">
      <c r="A115" s="54"/>
      <c r="B115" s="187">
        <v>55.0</v>
      </c>
      <c r="C115" s="188" t="str">
        <f>(VLOOKUP($B115,'Пр.взв'!$D$6:$J$63,2,0))</f>
        <v>САМОЙЛОВ Иван</v>
      </c>
      <c r="D115" s="189" t="str">
        <f>(VLOOKUP($B115,'Пр.взв'!$D$6:$J$63,5,0))</f>
        <v>1р</v>
      </c>
      <c r="E115" s="190" t="str">
        <f>(VLOOKUP($B115,'Пр.взв'!$D$6:$M$63,8,0))</f>
        <v>Рязанская</v>
      </c>
      <c r="F115" s="130">
        <f>B113</f>
        <v>54</v>
      </c>
      <c r="G115" s="255"/>
      <c r="H115" s="132">
        <v>58.0</v>
      </c>
      <c r="I115" s="255"/>
      <c r="J115" s="133" t="str">
        <f>IF(H115="Х","Х",IF($AC115&lt;6," ","Х"))</f>
        <v> </v>
      </c>
      <c r="K115" s="134"/>
      <c r="L115" s="133" t="str">
        <f>IF(J115="Х","Х",IF(K115&lt;3," ",IF($AC115&lt;6," ","Х")))</f>
        <v> </v>
      </c>
      <c r="M115" s="134"/>
      <c r="N115" s="133" t="str">
        <f>IF(L115="Х","Х",IF(M115&lt;3," ",IF($AC115&lt;6," ","Х")))</f>
        <v> </v>
      </c>
      <c r="O115" s="134"/>
      <c r="P115" s="133" t="str">
        <f>IF(N115="Х","Х",IF(O115&lt;3," ",IF($AC115&lt;6," ","Х")))</f>
        <v> </v>
      </c>
      <c r="Q115" s="134"/>
      <c r="R115" s="133" t="str">
        <f>IF(P115="Х","Х",IF(Q115&lt;3," ",IF($AC115&lt;6," ","Х")))</f>
        <v> </v>
      </c>
      <c r="S115" s="134"/>
      <c r="T115" s="133" t="str">
        <f>IF(R115="Х","Х",IF(S115&lt;3," ",IF($AC115&lt;6," ","Х")))</f>
        <v> </v>
      </c>
      <c r="U115" s="135"/>
      <c r="V115" s="133" t="str">
        <f>IF(T115="Х","Х",IF(U115&lt;3," ",IF($AC115&lt;6," ","Х")))</f>
        <v> </v>
      </c>
      <c r="W115" s="135"/>
      <c r="X115" s="133" t="str">
        <f>IF(V115="А1",$AZ$7,IF(V115="Б2",$AZ$6,IF(V115="Б1",$BA$7,IF(V115="А2",$BA$6,IF(V115="Х","Х",IF(V115&lt;6," "," "))))))</f>
        <v> </v>
      </c>
      <c r="Y115" s="136"/>
      <c r="Z115" s="133" t="str">
        <f>IF(V115="Х","Х",IF(ISBLANK(Y115),"",IF(Y115&gt;2.5," ",IF(B115=BB$6,BB$7,BB$6))))</f>
        <v/>
      </c>
      <c r="AA115" s="136"/>
      <c r="AB115" s="240" t="str">
        <f>IF(H115="Х",F$5,IF(J115="Х",H$5,IF(L115="Х",J$5,IF(N115="Х",L$5,IF(P115="Х",N$5,IF(R115="Х",P$5,IF(T115="Х",R$5,IF(X115="Х",T$5,""))))))))</f>
        <v/>
      </c>
      <c r="AC115" s="138">
        <f>SUM(G115+I115+K115+M115+O115+Q115+S115+U115+Y115+AA115)</f>
        <v>0</v>
      </c>
      <c r="AD115" s="241" t="str">
        <f>AF115</f>
        <v>1-54</v>
      </c>
      <c r="AE115" s="140" t="str">
        <f>AD115</f>
        <v>1-54</v>
      </c>
      <c r="AF115" s="141" t="str">
        <f>COUNTIF(AG$6:AG$148,"&gt;"&amp;AG$6:AG$148)+1&amp;REPT("-"&amp;COUNTIF(AG$6:AG$148,"&gt;="&amp;AG$6:AG$148),COUNTIF(AG$6:AG$148,AG115)&gt;1)</f>
        <v>1-54</v>
      </c>
      <c r="AG115" s="142">
        <f>(AR115*100)+(AP115*10)-AC115</f>
        <v>1280</v>
      </c>
      <c r="AH115" s="143" t="str">
        <f>IF(OR(F115="Х",F115="св")," ",IF(AND(G115&gt;=0,G115&lt;3),"1"," "))</f>
        <v>1</v>
      </c>
      <c r="AI115" s="90" t="str">
        <f>IF(OR(H115="Х",H115="св")," ",IF(AND(I115&gt;=0,I115&lt;3),"1"," "))</f>
        <v>1</v>
      </c>
      <c r="AJ115" s="90" t="str">
        <f>IF(OR(J115="Х",J115="св")," ",IF(AND(K115&gt;=0,K115&lt;3),"1"," "))</f>
        <v>1</v>
      </c>
      <c r="AK115" s="90" t="str">
        <f>IF(OR(L115="Х",L115="св")," ",IF(AND(M115&gt;=0,M115&lt;3),"1"," "))</f>
        <v>1</v>
      </c>
      <c r="AL115" s="90" t="str">
        <f>IF(OR(N115="Х",N115="св")," ",IF(AND(O115&gt;=0,O115&lt;3),"1"," "))</f>
        <v>1</v>
      </c>
      <c r="AM115" s="90" t="str">
        <f>IF(OR(P115="Х",P115="св")," ",IF(AND(Q115&gt;=0,Q115&lt;3),"1"," "))</f>
        <v>1</v>
      </c>
      <c r="AN115" s="90" t="str">
        <f>IF(OR(R115="Х",R115="св")," ",IF(AND(S115&gt;=0,S115&lt;3),"1"," "))</f>
        <v>1</v>
      </c>
      <c r="AO115" s="90" t="str">
        <f>IF(OR(T115="Х",T115="св")," ",IF(AND(U115&gt;=0,U115&lt;3),"1"," "))</f>
        <v>1</v>
      </c>
      <c r="AP115" s="90">
        <f>COUNTIF(AH115:AO116,1)</f>
        <v>8</v>
      </c>
      <c r="AQ115" s="90">
        <f>AG115-AC115</f>
        <v>1280</v>
      </c>
      <c r="AR115" s="144">
        <f>IF(F115=0,0,IF(F115="Х",1,IF(H115="Х",2,IF(J115="Х",3,IF(L115="Х",4,IF(N115="Х",5,IF(P115="Х",6,IF(R115="Х",7,IF(T115="Х",8,IF(V115="Х",9,IF(Y115&gt;2.5,10,IF(AA115&gt;2.5,11,IF(AA115&gt;=0,12,IF(AA115=" ",0,))))))))))))))</f>
        <v>12</v>
      </c>
      <c r="AS115" s="90" t="str">
        <f>COUNTIF(AG$6:AG$134,"&gt;"&amp;AG$6:AG$134)+1&amp;REPT("-"&amp;COUNTIF(AG$6:AG$134,"&gt;="&amp;AG$6:AG$134),COUNTIF(AG$6:AG$134,AG115)&gt;1)</f>
        <v>1-54</v>
      </c>
      <c r="AT115" s="143" t="str">
        <f t="shared" ref="AT115:AW115" si="60">COUNTIF(AU$6:AU$134,"&gt;"&amp;AU$6:AU$134)+1&amp;REPT("-"&amp;COUNTIF(AU$6:AU$134,"&gt;="&amp;AU$6:AU$134),COUNTIF(AU$6:AU$134,AU115)&gt;1)</f>
        <v>1-64</v>
      </c>
      <c r="AU115" s="143" t="str">
        <f t="shared" si="60"/>
        <v>1-0</v>
      </c>
      <c r="AV115" s="143" t="str">
        <f t="shared" si="60"/>
        <v>1</v>
      </c>
      <c r="AW115" s="143" t="str">
        <f t="shared" si="60"/>
        <v>10</v>
      </c>
      <c r="AX115" s="145">
        <f>IF(X115="Х","Х",IF(Y115&lt;3,B115,"Х"))</f>
        <v>55</v>
      </c>
      <c r="AY115" s="49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195">
        <v>55.0</v>
      </c>
      <c r="BN115" s="196">
        <v>54.0</v>
      </c>
      <c r="BO115" s="153" t="str">
        <f>IF(BM115&lt;BN115,BM115,"")</f>
        <v/>
      </c>
      <c r="BP115" s="196" t="s">
        <v>362</v>
      </c>
      <c r="BQ115" s="197"/>
      <c r="BR115" s="198">
        <v>55.0</v>
      </c>
      <c r="BS115" s="196">
        <v>58.0</v>
      </c>
      <c r="BT115" s="175">
        <f>IF(BR115&lt;BS115,BR115,"")</f>
        <v>55</v>
      </c>
      <c r="BU115" s="196">
        <v>55.0</v>
      </c>
      <c r="BV115" s="196"/>
      <c r="BW115" s="199">
        <v>55.0</v>
      </c>
      <c r="BX115" s="74" t="s">
        <v>361</v>
      </c>
      <c r="BY115" s="160">
        <f t="array" ref="BY115">IF(BW115&lt;BX115,BW115,"")</f>
        <v>55</v>
      </c>
      <c r="BZ115" s="160">
        <f t="shared" si="34"/>
        <v>55</v>
      </c>
      <c r="CA115" s="74"/>
      <c r="CB115" s="74" t="str">
        <f t="shared" si="35"/>
        <v>св</v>
      </c>
      <c r="CC115" s="200"/>
      <c r="CD115" s="243"/>
      <c r="CE115" s="200">
        <v>55.0</v>
      </c>
      <c r="CF115" s="25" t="s">
        <v>361</v>
      </c>
      <c r="CG115" s="153">
        <f t="array" ref="CG115">IF(CE115&lt;CF115,CE115,"")</f>
        <v>55</v>
      </c>
      <c r="CH115" s="74">
        <v>55.0</v>
      </c>
      <c r="CI115" s="182"/>
      <c r="CJ115" s="93">
        <v>55.0</v>
      </c>
      <c r="CK115" s="233" t="s">
        <v>361</v>
      </c>
      <c r="CL115" s="153">
        <f t="array" ref="CL115">IF(CJ115&lt;CK115,CJ115,"")</f>
        <v>55</v>
      </c>
      <c r="CM115" s="49">
        <v>55.0</v>
      </c>
      <c r="CN115" s="49"/>
      <c r="CO115" s="74">
        <v>55.0</v>
      </c>
      <c r="CP115" s="200" t="s">
        <v>361</v>
      </c>
      <c r="CQ115" s="153">
        <f t="array" ref="CQ115">IF(CO115&lt;CP115,CO115,"")</f>
        <v>55</v>
      </c>
      <c r="CR115" s="93">
        <v>55.0</v>
      </c>
      <c r="CS115" s="234"/>
      <c r="CT115" s="200">
        <v>55.0</v>
      </c>
      <c r="CU115" s="74" t="s">
        <v>361</v>
      </c>
      <c r="CV115" s="153">
        <f t="array" ref="CV115">IF(CT115&lt;CU115,CT115,"")</f>
        <v>55</v>
      </c>
      <c r="CW115" s="49">
        <v>55.0</v>
      </c>
      <c r="CX115" s="49"/>
      <c r="CY115" s="49">
        <v>55.0</v>
      </c>
      <c r="CZ115" s="49" t="s">
        <v>361</v>
      </c>
      <c r="DA115" s="153">
        <f t="array" ref="DA115">IF(CY115&lt;CZ115,CY115,"")</f>
        <v>55</v>
      </c>
      <c r="DB115" s="49">
        <v>55.0</v>
      </c>
      <c r="DC115" s="49"/>
      <c r="DD115" s="49">
        <v>55.0</v>
      </c>
      <c r="DE115" s="49"/>
      <c r="DF115" s="49"/>
      <c r="DG115" s="49"/>
      <c r="DH115" s="49"/>
    </row>
    <row r="116" ht="13.5" customHeight="1">
      <c r="A116" s="54"/>
      <c r="B116" s="165"/>
      <c r="C116" s="165"/>
      <c r="D116" s="165"/>
      <c r="E116" s="165"/>
      <c r="F116" s="166"/>
      <c r="G116" s="167"/>
      <c r="H116" s="168"/>
      <c r="I116" s="167"/>
      <c r="J116" s="168"/>
      <c r="K116" s="167"/>
      <c r="L116" s="168"/>
      <c r="M116" s="167"/>
      <c r="N116" s="168"/>
      <c r="O116" s="167"/>
      <c r="P116" s="168"/>
      <c r="Q116" s="167"/>
      <c r="R116" s="168"/>
      <c r="S116" s="167"/>
      <c r="T116" s="168"/>
      <c r="U116" s="169"/>
      <c r="V116" s="168"/>
      <c r="W116" s="169"/>
      <c r="X116" s="168"/>
      <c r="Y116" s="167"/>
      <c r="Z116" s="168"/>
      <c r="AA116" s="167"/>
      <c r="AB116" s="166"/>
      <c r="AC116" s="165"/>
      <c r="AD116" s="168"/>
      <c r="AE116" s="170"/>
      <c r="AF116" s="171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178"/>
      <c r="BO116" s="175" t="str">
        <f>IF(BO115="","",BN115)</f>
        <v/>
      </c>
      <c r="BP116" s="175" t="s">
        <v>362</v>
      </c>
      <c r="BQ116" s="197"/>
      <c r="BT116" s="175">
        <f>IF(BT115="","",BS115)</f>
        <v>58</v>
      </c>
      <c r="BU116" s="175">
        <v>58.0</v>
      </c>
      <c r="BV116" s="196"/>
      <c r="BW116" s="178"/>
      <c r="BY116" s="160" t="str">
        <f>IF(BY115="","",BX115)</f>
        <v> </v>
      </c>
      <c r="BZ116" s="160" t="str">
        <f t="shared" si="34"/>
        <v> </v>
      </c>
      <c r="CA116" s="200"/>
      <c r="CB116" s="74" t="str">
        <f t="shared" si="35"/>
        <v>св</v>
      </c>
      <c r="CC116" s="200"/>
      <c r="CD116" s="243"/>
      <c r="CG116" s="180" t="str">
        <f>IF(CG115="","",CF115)</f>
        <v> </v>
      </c>
      <c r="CH116" s="200" t="s">
        <v>361</v>
      </c>
      <c r="CI116" s="49"/>
      <c r="CJ116" s="49" t="s">
        <v>362</v>
      </c>
      <c r="CK116" s="235"/>
      <c r="CL116" s="180" t="str">
        <f>IF(CL115="","",CK115)</f>
        <v> </v>
      </c>
      <c r="CM116" s="49" t="s">
        <v>361</v>
      </c>
      <c r="CN116" s="49"/>
      <c r="CQ116" s="180" t="str">
        <f>IF(CQ115="","",CP115)</f>
        <v> </v>
      </c>
      <c r="CR116" s="49" t="s">
        <v>361</v>
      </c>
      <c r="CS116" s="49"/>
      <c r="CV116" s="180" t="str">
        <f>IF(CV115="","",CU115)</f>
        <v> </v>
      </c>
      <c r="CW116" s="49" t="s">
        <v>361</v>
      </c>
      <c r="CX116" s="49"/>
      <c r="CY116" s="49" t="s">
        <v>362</v>
      </c>
      <c r="CZ116" s="49"/>
      <c r="DA116" s="180" t="str">
        <f>IF(DA115="","",CZ115)</f>
        <v> </v>
      </c>
      <c r="DB116" s="49" t="s">
        <v>361</v>
      </c>
      <c r="DC116" s="49"/>
      <c r="DD116" s="49" t="s">
        <v>362</v>
      </c>
      <c r="DE116" s="49"/>
      <c r="DF116" s="49"/>
      <c r="DG116" s="49"/>
      <c r="DH116" s="49"/>
    </row>
    <row r="117" ht="13.5" customHeight="1">
      <c r="A117" s="54"/>
      <c r="B117" s="126">
        <v>56.0</v>
      </c>
      <c r="C117" s="188" t="str">
        <f>(VLOOKUP($B117,'Пр.взв'!$D$6:$J$63,2,0))</f>
        <v>ГРУЗАН Денис</v>
      </c>
      <c r="D117" s="189" t="str">
        <f>(VLOOKUP($B117,'Пр.взв'!$D$6:$J$63,5,0))</f>
        <v>КМС</v>
      </c>
      <c r="E117" s="190" t="str">
        <f>(VLOOKUP($B117,'Пр.взв'!$D$6:$M$63,8,0))</f>
        <v>Свердловская</v>
      </c>
      <c r="F117" s="130">
        <f>B119</f>
        <v>57</v>
      </c>
      <c r="G117" s="134"/>
      <c r="H117" s="132">
        <v>54.0</v>
      </c>
      <c r="I117" s="136"/>
      <c r="J117" s="133" t="str">
        <f>IF(H117="Х","Х",IF($AC117&lt;6," ","Х"))</f>
        <v> </v>
      </c>
      <c r="K117" s="134"/>
      <c r="L117" s="133" t="str">
        <f>IF(J117="Х","Х",IF(K117&lt;3," ",IF($AC117&lt;6," ","Х")))</f>
        <v> </v>
      </c>
      <c r="M117" s="134"/>
      <c r="N117" s="133" t="str">
        <f>IF(L117="Х","Х",IF(M117&lt;3," ",IF($AC117&lt;6," ","Х")))</f>
        <v> </v>
      </c>
      <c r="O117" s="134"/>
      <c r="P117" s="133" t="str">
        <f>IF(N117="Х","Х",IF(O117&lt;3," ",IF($AC117&lt;6," ","Х")))</f>
        <v> </v>
      </c>
      <c r="Q117" s="134"/>
      <c r="R117" s="133" t="str">
        <f>IF(P117="Х","Х",IF(Q117&lt;3," ",IF($AC117&lt;6," ","Х")))</f>
        <v> </v>
      </c>
      <c r="S117" s="134"/>
      <c r="T117" s="133" t="str">
        <f>IF(R117="Х","Х",IF(S117&lt;3," ",IF($AC117&lt;6," ","Х")))</f>
        <v> </v>
      </c>
      <c r="U117" s="135"/>
      <c r="V117" s="133" t="str">
        <f>IF(T117="Х","Х",IF(U117&lt;3," ",IF($AC117&lt;6," ","Х")))</f>
        <v> </v>
      </c>
      <c r="W117" s="135"/>
      <c r="X117" s="133" t="str">
        <f>IF(V117="А1",$AZ$7,IF(V117="Б2",$AZ$6,IF(V117="Б1",$BA$7,IF(V117="А2",$BA$6,IF(V117="Х","Х",IF(V117&lt;6," "," "))))))</f>
        <v> </v>
      </c>
      <c r="Y117" s="136"/>
      <c r="Z117" s="133" t="str">
        <f>IF(V117="Х","Х",IF(ISBLANK(Y117),"",IF(Y117&gt;2.5," ",IF(B117=BB$6,BB$7,BB$6))))</f>
        <v/>
      </c>
      <c r="AA117" s="136"/>
      <c r="AB117" s="240" t="str">
        <f>IF(H117="Х",F$5,IF(J117="Х",H$5,IF(L117="Х",J$5,IF(N117="Х",L$5,IF(P117="Х",N$5,IF(R117="Х",P$5,IF(T117="Х",R$5,IF(X117="Х",T$5,""))))))))</f>
        <v/>
      </c>
      <c r="AC117" s="138">
        <f>SUM(G117+I117+K117+M117+O117+Q117+S117+U117+Y117+AA117)</f>
        <v>0</v>
      </c>
      <c r="AD117" s="241" t="str">
        <f>AF117</f>
        <v>1-54</v>
      </c>
      <c r="AE117" s="140" t="str">
        <f>AD117</f>
        <v>1-54</v>
      </c>
      <c r="AF117" s="141" t="str">
        <f>COUNTIF(AG$6:AG$148,"&gt;"&amp;AG$6:AG$148)+1&amp;REPT("-"&amp;COUNTIF(AG$6:AG$148,"&gt;="&amp;AG$6:AG$148),COUNTIF(AG$6:AG$148,AG117)&gt;1)</f>
        <v>1-54</v>
      </c>
      <c r="AG117" s="142">
        <f>(AR117*100)+(AP117*10)-AC117</f>
        <v>1280</v>
      </c>
      <c r="AH117" s="143" t="str">
        <f>IF(OR(F117="Х",F117="св")," ",IF(AND(G117&gt;=0,G117&lt;3),"1"," "))</f>
        <v>1</v>
      </c>
      <c r="AI117" s="90" t="str">
        <f>IF(OR(H117="Х",H117="св")," ",IF(AND(I117&gt;=0,I117&lt;3),"1"," "))</f>
        <v>1</v>
      </c>
      <c r="AJ117" s="90" t="str">
        <f>IF(OR(J117="Х",J117="св")," ",IF(AND(K117&gt;=0,K117&lt;3),"1"," "))</f>
        <v>1</v>
      </c>
      <c r="AK117" s="90" t="str">
        <f>IF(OR(L117="Х",L117="св")," ",IF(AND(M117&gt;=0,M117&lt;3),"1"," "))</f>
        <v>1</v>
      </c>
      <c r="AL117" s="90" t="str">
        <f>IF(OR(N117="Х",N117="св")," ",IF(AND(O117&gt;=0,O117&lt;3),"1"," "))</f>
        <v>1</v>
      </c>
      <c r="AM117" s="90" t="str">
        <f>IF(OR(P117="Х",P117="св")," ",IF(AND(Q117&gt;=0,Q117&lt;3),"1"," "))</f>
        <v>1</v>
      </c>
      <c r="AN117" s="90" t="str">
        <f>IF(OR(R117="Х",R117="св")," ",IF(AND(S117&gt;=0,S117&lt;3),"1"," "))</f>
        <v>1</v>
      </c>
      <c r="AO117" s="90" t="str">
        <f>IF(OR(T117="Х",T117="св")," ",IF(AND(U117&gt;=0,U117&lt;3),"1"," "))</f>
        <v>1</v>
      </c>
      <c r="AP117" s="90">
        <f>COUNTIF(AH117:AO118,1)</f>
        <v>8</v>
      </c>
      <c r="AQ117" s="90">
        <f>AG117-AC117</f>
        <v>1280</v>
      </c>
      <c r="AR117" s="144">
        <f>IF(F117=0,0,IF(F117="Х",1,IF(H117="Х",2,IF(J117="Х",3,IF(L117="Х",4,IF(N117="Х",5,IF(P117="Х",6,IF(R117="Х",7,IF(T117="Х",8,IF(V117="Х",9,IF(Y117&gt;2.5,10,IF(AA117&gt;2.5,11,IF(AA117&gt;=0,12,IF(AA117=" ",0,))))))))))))))</f>
        <v>12</v>
      </c>
      <c r="AS117" s="90" t="str">
        <f>COUNTIF(AG$6:AG$134,"&gt;"&amp;AG$6:AG$134)+1&amp;REPT("-"&amp;COUNTIF(AG$6:AG$134,"&gt;="&amp;AG$6:AG$134),COUNTIF(AG$6:AG$134,AG117)&gt;1)</f>
        <v>1-54</v>
      </c>
      <c r="AT117" s="143" t="str">
        <f t="shared" ref="AT117:AW117" si="61">COUNTIF(AU$6:AU$134,"&gt;"&amp;AU$6:AU$134)+1&amp;REPT("-"&amp;COUNTIF(AU$6:AU$134,"&gt;="&amp;AU$6:AU$134),COUNTIF(AU$6:AU$134,AU117)&gt;1)</f>
        <v>1-64</v>
      </c>
      <c r="AU117" s="143" t="str">
        <f t="shared" si="61"/>
        <v>1-0</v>
      </c>
      <c r="AV117" s="143" t="str">
        <f t="shared" si="61"/>
        <v>1</v>
      </c>
      <c r="AW117" s="143" t="str">
        <f t="shared" si="61"/>
        <v>9</v>
      </c>
      <c r="AX117" s="145">
        <f>IF(X117="Х","Х",IF(Y117&lt;3,B117,"Х"))</f>
        <v>56</v>
      </c>
      <c r="AY117" s="49"/>
      <c r="AZ117" s="49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195">
        <v>56.0</v>
      </c>
      <c r="BN117" s="196">
        <v>57.0</v>
      </c>
      <c r="BO117" s="153">
        <f>IF(BM117&lt;BN117,BM117,"")</f>
        <v>56</v>
      </c>
      <c r="BP117" s="196">
        <v>56.0</v>
      </c>
      <c r="BQ117" s="197"/>
      <c r="BR117" s="198">
        <v>56.0</v>
      </c>
      <c r="BS117" s="196">
        <v>54.0</v>
      </c>
      <c r="BT117" s="175" t="str">
        <f>IF(BR117&lt;BS117,BR117,"")</f>
        <v/>
      </c>
      <c r="BU117" s="196" t="s">
        <v>362</v>
      </c>
      <c r="BV117" s="196"/>
      <c r="BW117" s="199">
        <v>56.0</v>
      </c>
      <c r="BX117" s="74" t="s">
        <v>361</v>
      </c>
      <c r="BY117" s="160">
        <f t="array" ref="BY117">IF(BW117&lt;BX117,BW117,"")</f>
        <v>56</v>
      </c>
      <c r="BZ117" s="160">
        <f t="shared" si="34"/>
        <v>56</v>
      </c>
      <c r="CA117" s="74"/>
      <c r="CB117" s="74" t="str">
        <f t="shared" si="35"/>
        <v>св</v>
      </c>
      <c r="CC117" s="200"/>
      <c r="CD117" s="243"/>
      <c r="CE117" s="200">
        <v>56.0</v>
      </c>
      <c r="CF117" s="25" t="s">
        <v>361</v>
      </c>
      <c r="CG117" s="153">
        <f t="array" ref="CG117">IF(CE117&lt;CF117,CE117,"")</f>
        <v>56</v>
      </c>
      <c r="CH117" s="74">
        <v>56.0</v>
      </c>
      <c r="CI117" s="49"/>
      <c r="CJ117" s="93">
        <v>56.0</v>
      </c>
      <c r="CK117" s="233" t="s">
        <v>361</v>
      </c>
      <c r="CL117" s="153">
        <f t="array" ref="CL117">IF(CJ117&lt;CK117,CJ117,"")</f>
        <v>56</v>
      </c>
      <c r="CM117" s="49">
        <v>56.0</v>
      </c>
      <c r="CN117" s="49"/>
      <c r="CO117" s="74">
        <v>56.0</v>
      </c>
      <c r="CP117" s="200" t="s">
        <v>361</v>
      </c>
      <c r="CQ117" s="153">
        <f t="array" ref="CQ117">IF(CO117&lt;CP117,CO117,"")</f>
        <v>56</v>
      </c>
      <c r="CR117" s="93">
        <v>56.0</v>
      </c>
      <c r="CS117" s="49"/>
      <c r="CT117" s="200">
        <v>56.0</v>
      </c>
      <c r="CU117" s="74" t="s">
        <v>361</v>
      </c>
      <c r="CV117" s="153">
        <f t="array" ref="CV117">IF(CT117&lt;CU117,CT117,"")</f>
        <v>56</v>
      </c>
      <c r="CW117" s="49">
        <v>56.0</v>
      </c>
      <c r="CX117" s="49"/>
      <c r="CY117" s="49">
        <v>56.0</v>
      </c>
      <c r="CZ117" s="49" t="s">
        <v>361</v>
      </c>
      <c r="DA117" s="153">
        <f t="array" ref="DA117">IF(CY117&lt;CZ117,CY117,"")</f>
        <v>56</v>
      </c>
      <c r="DB117" s="49">
        <v>56.0</v>
      </c>
      <c r="DC117" s="49"/>
      <c r="DD117" s="49">
        <v>56.0</v>
      </c>
      <c r="DE117" s="49"/>
      <c r="DF117" s="49"/>
      <c r="DG117" s="49"/>
      <c r="DH117" s="49"/>
    </row>
    <row r="118" ht="13.5" customHeight="1">
      <c r="A118" s="54"/>
      <c r="B118" s="165"/>
      <c r="C118" s="165"/>
      <c r="D118" s="165"/>
      <c r="E118" s="165"/>
      <c r="F118" s="166"/>
      <c r="G118" s="167"/>
      <c r="H118" s="168"/>
      <c r="I118" s="167"/>
      <c r="J118" s="168"/>
      <c r="K118" s="167"/>
      <c r="L118" s="168"/>
      <c r="M118" s="167"/>
      <c r="N118" s="168"/>
      <c r="O118" s="167"/>
      <c r="P118" s="168"/>
      <c r="Q118" s="167"/>
      <c r="R118" s="168"/>
      <c r="S118" s="167"/>
      <c r="T118" s="168"/>
      <c r="U118" s="169"/>
      <c r="V118" s="168"/>
      <c r="W118" s="169"/>
      <c r="X118" s="168"/>
      <c r="Y118" s="167"/>
      <c r="Z118" s="168"/>
      <c r="AA118" s="167"/>
      <c r="AB118" s="166"/>
      <c r="AC118" s="165"/>
      <c r="AD118" s="168"/>
      <c r="AE118" s="170"/>
      <c r="AF118" s="171"/>
      <c r="AG118" s="113"/>
      <c r="AH118" s="113"/>
      <c r="AI118" s="113"/>
      <c r="AJ118" s="113"/>
      <c r="AK118" s="113"/>
      <c r="AL118" s="113"/>
      <c r="AM118" s="113"/>
      <c r="AN118" s="113"/>
      <c r="AO118" s="113"/>
      <c r="AP118" s="113"/>
      <c r="AQ118" s="113"/>
      <c r="AR118" s="113"/>
      <c r="AS118" s="113"/>
      <c r="AT118" s="113"/>
      <c r="AU118" s="113"/>
      <c r="AV118" s="113"/>
      <c r="AW118" s="113"/>
      <c r="AY118" s="49"/>
      <c r="AZ118" s="49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257"/>
      <c r="BN118" s="107"/>
      <c r="BO118" s="175">
        <f>IF(BO117="","",BN117)</f>
        <v>57</v>
      </c>
      <c r="BP118" s="258">
        <v>57.0</v>
      </c>
      <c r="BQ118" s="259"/>
      <c r="BT118" s="175" t="str">
        <f>IF(BT117="","",BS117)</f>
        <v/>
      </c>
      <c r="BU118" s="175" t="s">
        <v>362</v>
      </c>
      <c r="BV118" s="196"/>
      <c r="BW118" s="257"/>
      <c r="BX118" s="107"/>
      <c r="BY118" s="160" t="str">
        <f>IF(BY117="","",BX117)</f>
        <v> </v>
      </c>
      <c r="BZ118" s="260" t="str">
        <f t="shared" si="34"/>
        <v> </v>
      </c>
      <c r="CA118" s="261"/>
      <c r="CB118" s="262" t="str">
        <f t="shared" si="35"/>
        <v>св</v>
      </c>
      <c r="CC118" s="261"/>
      <c r="CD118" s="263"/>
      <c r="CG118" s="180" t="str">
        <f>IF(CG117="","",CF117)</f>
        <v> </v>
      </c>
      <c r="CH118" s="200" t="s">
        <v>361</v>
      </c>
      <c r="CI118" s="49"/>
      <c r="CJ118" s="49" t="s">
        <v>362</v>
      </c>
      <c r="CK118" s="235"/>
      <c r="CL118" s="180" t="str">
        <f>IF(CL117="","",CK117)</f>
        <v> </v>
      </c>
      <c r="CM118" s="49" t="s">
        <v>361</v>
      </c>
      <c r="CN118" s="49"/>
      <c r="CQ118" s="180" t="str">
        <f>IF(CQ117="","",CP117)</f>
        <v> </v>
      </c>
      <c r="CR118" s="49" t="s">
        <v>361</v>
      </c>
      <c r="CS118" s="49"/>
      <c r="CV118" s="180" t="str">
        <f>IF(CV117="","",CU117)</f>
        <v> </v>
      </c>
      <c r="CW118" s="49" t="s">
        <v>361</v>
      </c>
      <c r="CX118" s="49"/>
      <c r="CY118" s="49" t="s">
        <v>362</v>
      </c>
      <c r="CZ118" s="49"/>
      <c r="DA118" s="180" t="str">
        <f>IF(DA117="","",CZ117)</f>
        <v> </v>
      </c>
      <c r="DB118" s="49" t="s">
        <v>361</v>
      </c>
      <c r="DC118" s="49"/>
      <c r="DD118" s="49" t="s">
        <v>362</v>
      </c>
      <c r="DE118" s="49"/>
      <c r="DF118" s="49"/>
      <c r="DG118" s="49"/>
      <c r="DH118" s="49"/>
    </row>
    <row r="119" ht="13.5" customHeight="1">
      <c r="A119" s="264"/>
      <c r="B119" s="126">
        <v>57.0</v>
      </c>
      <c r="C119" s="188" t="str">
        <f>(VLOOKUP($B119,'Пр.взв'!$D$6:$J$63,2,0))</f>
        <v>ШВЕЦ Павел </v>
      </c>
      <c r="D119" s="189" t="str">
        <f>(VLOOKUP($B119,'Пр.взв'!$D$6:$J$63,5,0))</f>
        <v>1р</v>
      </c>
      <c r="E119" s="190" t="str">
        <f>(VLOOKUP($B119,'Пр.взв'!$D$6:$M$63,8,0))</f>
        <v>Брянская</v>
      </c>
      <c r="F119" s="130">
        <f>B117</f>
        <v>56</v>
      </c>
      <c r="G119" s="134"/>
      <c r="H119" s="132" t="s">
        <v>364</v>
      </c>
      <c r="I119" s="136"/>
      <c r="J119" s="133" t="str">
        <f>IF(H119="Х","Х",IF($AC119&lt;6," ","Х"))</f>
        <v> </v>
      </c>
      <c r="K119" s="134"/>
      <c r="L119" s="133" t="str">
        <f>IF(J119="Х","Х",IF(K119&lt;3," ",IF($AC119&lt;6," ","Х")))</f>
        <v> </v>
      </c>
      <c r="M119" s="134"/>
      <c r="N119" s="133" t="str">
        <f>IF(L119="Х","Х",IF(M119&lt;3," ",IF($AC119&lt;6," ","Х")))</f>
        <v> </v>
      </c>
      <c r="O119" s="134"/>
      <c r="P119" s="133" t="str">
        <f>IF(N119="Х","Х",IF(O119&lt;3," ",IF($AC119&lt;6," ","Х")))</f>
        <v> </v>
      </c>
      <c r="Q119" s="134"/>
      <c r="R119" s="133" t="str">
        <f>IF(P119="Х","Х",IF(Q119&lt;3," ",IF($AC119&lt;6," ","Х")))</f>
        <v> </v>
      </c>
      <c r="S119" s="134"/>
      <c r="T119" s="133" t="str">
        <f>IF(R119="Х","Х",IF(S119&lt;3," ",IF($AC119&lt;6," ","Х")))</f>
        <v> </v>
      </c>
      <c r="U119" s="135"/>
      <c r="V119" s="133" t="str">
        <f>IF(T119="Х","Х",IF(U119&lt;3," ",IF($AC119&lt;6," ","Х")))</f>
        <v> </v>
      </c>
      <c r="W119" s="135"/>
      <c r="X119" s="133" t="str">
        <f>IF(V119="А1",$AZ$7,IF(V119="Б2",$AZ$6,IF(V119="Б1",$BA$7,IF(V119="А2",$BA$6,IF(V119="Х","Х",IF(V119&lt;6," "," "))))))</f>
        <v> </v>
      </c>
      <c r="Y119" s="136"/>
      <c r="Z119" s="133" t="str">
        <f>IF(V119="Х","Х",IF(ISBLANK(Y119),"",IF(Y119&gt;2.5," ",IF(B119=BB$6,BB$7,BB$6))))</f>
        <v/>
      </c>
      <c r="AA119" s="136"/>
      <c r="AB119" s="240" t="str">
        <f>IF(H119="Х",F$5,IF(J119="Х",H$5,IF(L119="Х",J$5,IF(N119="Х",L$5,IF(P119="Х",N$5,IF(R119="Х",P$5,IF(T119="Х",R$5,IF(X119="Х",T$5,""))))))))</f>
        <v/>
      </c>
      <c r="AC119" s="138">
        <f>SUM(G119+I119+K119+M119+O119+Q119+S119+U119+Y119+AA119)</f>
        <v>0</v>
      </c>
      <c r="AD119" s="241" t="str">
        <f>AF119</f>
        <v>55-58</v>
      </c>
      <c r="AE119" s="140" t="str">
        <f>AD119</f>
        <v>55-58</v>
      </c>
      <c r="AF119" s="141" t="str">
        <f>COUNTIF(AG$6:AG$148,"&gt;"&amp;AG$6:AG$148)+1&amp;REPT("-"&amp;COUNTIF(AG$6:AG$148,"&gt;="&amp;AG$6:AG$148),COUNTIF(AG$6:AG$148,AG119)&gt;1)</f>
        <v>55-58</v>
      </c>
      <c r="AG119" s="142">
        <f>(AR119*100)+(AP119*10)-AC119</f>
        <v>1270</v>
      </c>
      <c r="AH119" s="143" t="str">
        <f>IF(OR(F119="Х",F119="св")," ",IF(AND(G119&gt;=0,G119&lt;3),"1"," "))</f>
        <v>1</v>
      </c>
      <c r="AI119" s="90" t="str">
        <f>IF(OR(H119="Х",H119="св")," ",IF(AND(I119&gt;=0,I119&lt;3),"1"," "))</f>
        <v> </v>
      </c>
      <c r="AJ119" s="90" t="str">
        <f>IF(OR(J119="Х",J119="св")," ",IF(AND(K119&gt;=0,K119&lt;3),"1"," "))</f>
        <v>1</v>
      </c>
      <c r="AK119" s="90" t="str">
        <f>IF(OR(L119="Х",L119="св")," ",IF(AND(M119&gt;=0,M119&lt;3),"1"," "))</f>
        <v>1</v>
      </c>
      <c r="AL119" s="90" t="str">
        <f>IF(OR(N119="Х",N119="св")," ",IF(AND(O119&gt;=0,O119&lt;3),"1"," "))</f>
        <v>1</v>
      </c>
      <c r="AM119" s="90" t="str">
        <f>IF(OR(P119="Х",P119="св")," ",IF(AND(Q119&gt;=0,Q119&lt;3),"1"," "))</f>
        <v>1</v>
      </c>
      <c r="AN119" s="90" t="str">
        <f>IF(OR(R119="Х",R119="св")," ",IF(AND(S119&gt;=0,S119&lt;3),"1"," "))</f>
        <v>1</v>
      </c>
      <c r="AO119" s="90" t="str">
        <f>IF(OR(T119="Х",T119="св")," ",IF(AND(U119&gt;=0,U119&lt;3),"1"," "))</f>
        <v>1</v>
      </c>
      <c r="AP119" s="90">
        <f>COUNTIF(AH119:AO120,1)</f>
        <v>7</v>
      </c>
      <c r="AQ119" s="90">
        <f>AG119-AC119</f>
        <v>1270</v>
      </c>
      <c r="AR119" s="144">
        <f>IF(F119=0,0,IF(F119="Х",1,IF(H119="Х",2,IF(J119="Х",3,IF(L119="Х",4,IF(N119="Х",5,IF(P119="Х",6,IF(R119="Х",7,IF(T119="Х",8,IF(V119="Х",9,IF(Y119&gt;2.5,10,IF(AA119&gt;2.5,11,IF(AA119&gt;=0,12,IF(AA119=" ",0,))))))))))))))</f>
        <v>12</v>
      </c>
      <c r="AS119" s="90" t="str">
        <f>COUNTIF(AG$6:AG$134,"&gt;"&amp;AG$6:AG$134)+1&amp;REPT("-"&amp;COUNTIF(AG$6:AG$134,"&gt;="&amp;AG$6:AG$134),COUNTIF(AG$6:AG$134,AG119)&gt;1)</f>
        <v>55-58</v>
      </c>
      <c r="AT119" s="143" t="str">
        <f t="shared" ref="AT119:AW119" si="62">COUNTIF(AU$6:AU$134,"&gt;"&amp;AU$6:AU$134)+1&amp;REPT("-"&amp;COUNTIF(AU$6:AU$134,"&gt;="&amp;AU$6:AU$134),COUNTIF(AU$6:AU$134,AU119)&gt;1)</f>
        <v>1-64</v>
      </c>
      <c r="AU119" s="143" t="str">
        <f t="shared" si="62"/>
        <v>1-0</v>
      </c>
      <c r="AV119" s="143" t="str">
        <f t="shared" si="62"/>
        <v>1</v>
      </c>
      <c r="AW119" s="143" t="str">
        <f t="shared" si="62"/>
        <v>8</v>
      </c>
      <c r="AX119" s="145">
        <f>IF(X119="Х","Х",IF(Y119&lt;3,B119,"Х"))</f>
        <v>57</v>
      </c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195">
        <v>57.0</v>
      </c>
      <c r="BN119" s="196">
        <v>56.0</v>
      </c>
      <c r="BO119" s="153" t="str">
        <f>IF(BM119&lt;BN119,BM119,"")</f>
        <v/>
      </c>
      <c r="BP119" s="196" t="s">
        <v>362</v>
      </c>
      <c r="BQ119" s="197"/>
      <c r="BR119" s="198">
        <v>57.0</v>
      </c>
      <c r="BS119" s="196" t="s">
        <v>364</v>
      </c>
      <c r="BT119" s="175">
        <f>IF(BR119&lt;BS119,BR119,"")</f>
        <v>57</v>
      </c>
      <c r="BU119" s="196">
        <v>57.0</v>
      </c>
      <c r="BV119" s="196"/>
      <c r="BW119" s="199">
        <v>57.0</v>
      </c>
      <c r="BX119" s="74" t="s">
        <v>361</v>
      </c>
      <c r="BY119" s="160">
        <f t="array" ref="BY119">IF(BW119&lt;BX119,BW119,"")</f>
        <v>57</v>
      </c>
      <c r="BZ119" s="160">
        <f t="shared" si="34"/>
        <v>57</v>
      </c>
      <c r="CA119" s="74"/>
      <c r="CB119" s="74" t="str">
        <f t="shared" si="35"/>
        <v>св</v>
      </c>
      <c r="CC119" s="200"/>
      <c r="CD119" s="243"/>
      <c r="CE119" s="200">
        <v>57.0</v>
      </c>
      <c r="CF119" s="25" t="s">
        <v>361</v>
      </c>
      <c r="CG119" s="153">
        <f t="array" ref="CG119">IF(CE119&lt;CF119,CE119,"")</f>
        <v>57</v>
      </c>
      <c r="CH119" s="74">
        <v>57.0</v>
      </c>
      <c r="CI119" s="49"/>
      <c r="CJ119" s="93">
        <v>57.0</v>
      </c>
      <c r="CK119" s="233" t="s">
        <v>361</v>
      </c>
      <c r="CL119" s="153">
        <f t="array" ref="CL119">IF(CJ119&lt;CK119,CJ119,"")</f>
        <v>57</v>
      </c>
      <c r="CM119" s="49">
        <v>57.0</v>
      </c>
      <c r="CN119" s="49"/>
      <c r="CO119" s="74">
        <v>57.0</v>
      </c>
      <c r="CP119" s="200" t="s">
        <v>361</v>
      </c>
      <c r="CQ119" s="153">
        <f t="array" ref="CQ119">IF(CO119&lt;CP119,CO119,"")</f>
        <v>57</v>
      </c>
      <c r="CR119" s="93">
        <v>57.0</v>
      </c>
      <c r="CS119" s="49"/>
      <c r="CT119" s="200">
        <v>57.0</v>
      </c>
      <c r="CU119" s="74" t="s">
        <v>361</v>
      </c>
      <c r="CV119" s="153">
        <f t="array" ref="CV119">IF(CT119&lt;CU119,CT119,"")</f>
        <v>57</v>
      </c>
      <c r="CW119" s="49">
        <v>57.0</v>
      </c>
      <c r="CX119" s="49"/>
      <c r="CY119" s="49">
        <v>57.0</v>
      </c>
      <c r="CZ119" s="49" t="s">
        <v>361</v>
      </c>
      <c r="DA119" s="153">
        <f t="array" ref="DA119">IF(CY119&lt;CZ119,CY119,"")</f>
        <v>57</v>
      </c>
      <c r="DB119" s="49">
        <v>57.0</v>
      </c>
      <c r="DC119" s="49"/>
      <c r="DD119" s="49">
        <v>57.0</v>
      </c>
      <c r="DE119" s="49"/>
      <c r="DF119" s="49"/>
      <c r="DG119" s="49"/>
      <c r="DH119" s="49"/>
    </row>
    <row r="120" ht="13.5" customHeight="1">
      <c r="A120" s="264"/>
      <c r="B120" s="165"/>
      <c r="C120" s="165"/>
      <c r="D120" s="165"/>
      <c r="E120" s="165"/>
      <c r="F120" s="166"/>
      <c r="G120" s="167"/>
      <c r="H120" s="168"/>
      <c r="I120" s="167"/>
      <c r="J120" s="168"/>
      <c r="K120" s="167"/>
      <c r="L120" s="168"/>
      <c r="M120" s="167"/>
      <c r="N120" s="168"/>
      <c r="O120" s="167"/>
      <c r="P120" s="168"/>
      <c r="Q120" s="167"/>
      <c r="R120" s="168"/>
      <c r="S120" s="167"/>
      <c r="T120" s="168"/>
      <c r="U120" s="169"/>
      <c r="V120" s="168"/>
      <c r="W120" s="169"/>
      <c r="X120" s="168"/>
      <c r="Y120" s="167"/>
      <c r="Z120" s="168"/>
      <c r="AA120" s="167"/>
      <c r="AB120" s="166"/>
      <c r="AC120" s="165"/>
      <c r="AD120" s="168"/>
      <c r="AE120" s="170"/>
      <c r="AF120" s="171"/>
      <c r="AG120" s="113"/>
      <c r="AH120" s="113"/>
      <c r="AI120" s="113"/>
      <c r="AJ120" s="113"/>
      <c r="AK120" s="113"/>
      <c r="AL120" s="113"/>
      <c r="AM120" s="113"/>
      <c r="AN120" s="113"/>
      <c r="AO120" s="113"/>
      <c r="AP120" s="113"/>
      <c r="AQ120" s="113"/>
      <c r="AR120" s="113"/>
      <c r="AS120" s="113"/>
      <c r="AT120" s="113"/>
      <c r="AU120" s="113"/>
      <c r="AV120" s="113"/>
      <c r="AW120" s="113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257"/>
      <c r="BN120" s="107"/>
      <c r="BO120" s="175" t="str">
        <f>IF(BO119="","",BN119)</f>
        <v/>
      </c>
      <c r="BP120" s="258" t="s">
        <v>362</v>
      </c>
      <c r="BQ120" s="259"/>
      <c r="BT120" s="175" t="str">
        <f>IF(BT119="","",BS119)</f>
        <v>св</v>
      </c>
      <c r="BU120" s="175">
        <v>0.0</v>
      </c>
      <c r="BV120" s="196"/>
      <c r="BW120" s="257"/>
      <c r="BX120" s="107"/>
      <c r="BY120" s="160" t="str">
        <f>IF(BY119="","",BX119)</f>
        <v> </v>
      </c>
      <c r="BZ120" s="260" t="str">
        <f t="shared" si="34"/>
        <v> </v>
      </c>
      <c r="CA120" s="261"/>
      <c r="CB120" s="262" t="str">
        <f t="shared" si="35"/>
        <v>св</v>
      </c>
      <c r="CC120" s="261"/>
      <c r="CD120" s="263"/>
      <c r="CG120" s="180" t="str">
        <f>IF(CG119="","",CF119)</f>
        <v> </v>
      </c>
      <c r="CH120" s="200" t="s">
        <v>361</v>
      </c>
      <c r="CI120" s="49"/>
      <c r="CJ120" s="49" t="s">
        <v>362</v>
      </c>
      <c r="CK120" s="235"/>
      <c r="CL120" s="180" t="str">
        <f>IF(CL119="","",CK119)</f>
        <v> </v>
      </c>
      <c r="CM120" s="49" t="s">
        <v>361</v>
      </c>
      <c r="CN120" s="49"/>
      <c r="CQ120" s="180" t="str">
        <f>IF(CQ119="","",CP119)</f>
        <v> </v>
      </c>
      <c r="CR120" s="49" t="s">
        <v>361</v>
      </c>
      <c r="CS120" s="49"/>
      <c r="CV120" s="180" t="str">
        <f>IF(CV119="","",CU119)</f>
        <v> </v>
      </c>
      <c r="CW120" s="49" t="s">
        <v>361</v>
      </c>
      <c r="CX120" s="49"/>
      <c r="CY120" s="49" t="s">
        <v>362</v>
      </c>
      <c r="CZ120" s="49"/>
      <c r="DA120" s="180" t="str">
        <f>IF(DA119="","",CZ119)</f>
        <v> </v>
      </c>
      <c r="DB120" s="49" t="s">
        <v>361</v>
      </c>
      <c r="DC120" s="49"/>
      <c r="DD120" s="49" t="s">
        <v>362</v>
      </c>
      <c r="DE120" s="49"/>
      <c r="DF120" s="49"/>
      <c r="DG120" s="49"/>
      <c r="DH120" s="49"/>
    </row>
    <row r="121" ht="13.5" customHeight="1">
      <c r="A121" s="264"/>
      <c r="B121" s="126">
        <v>58.0</v>
      </c>
      <c r="C121" s="188" t="str">
        <f>(VLOOKUP($B121,'Пр.взв'!$D$6:$J$63,2,0))</f>
        <v>ШАРИПОВ Магомед-Шамиль </v>
      </c>
      <c r="D121" s="189" t="str">
        <f>(VLOOKUP($B121,'Пр.взв'!$D$6:$J$63,5,0))</f>
        <v>КМС</v>
      </c>
      <c r="E121" s="190" t="str">
        <f>(VLOOKUP($B121,'Пр.взв'!$D$6:$M$63,8,0))</f>
        <v>Р.Дагестан</v>
      </c>
      <c r="F121" s="130" t="s">
        <v>364</v>
      </c>
      <c r="G121" s="134"/>
      <c r="H121" s="132">
        <v>55.0</v>
      </c>
      <c r="I121" s="136"/>
      <c r="J121" s="133" t="str">
        <f>IF(H121="Х","Х",IF($AC121&lt;6," ","Х"))</f>
        <v> </v>
      </c>
      <c r="K121" s="134"/>
      <c r="L121" s="133" t="str">
        <f>IF(J121="Х","Х",IF(K121&lt;3," ",IF($AC121&lt;6," ","Х")))</f>
        <v> </v>
      </c>
      <c r="M121" s="134"/>
      <c r="N121" s="133" t="str">
        <f>IF(L121="Х","Х",IF(M121&lt;3," ",IF($AC121&lt;6," ","Х")))</f>
        <v> </v>
      </c>
      <c r="O121" s="134"/>
      <c r="P121" s="133" t="str">
        <f>IF(N121="Х","Х",IF(O121&lt;3," ",IF($AC121&lt;6," ","Х")))</f>
        <v> </v>
      </c>
      <c r="Q121" s="134"/>
      <c r="R121" s="133" t="str">
        <f>IF(P121="Х","Х",IF(Q121&lt;3," ",IF($AC121&lt;6," ","Х")))</f>
        <v> </v>
      </c>
      <c r="S121" s="134"/>
      <c r="T121" s="133" t="str">
        <f>IF(R121="Х","Х",IF(S121&lt;3," ",IF($AC121&lt;6," ","Х")))</f>
        <v> </v>
      </c>
      <c r="U121" s="135"/>
      <c r="V121" s="133" t="str">
        <f>IF(T121="Х","Х",IF(U121&lt;3," ",IF($AC121&lt;6," ","Х")))</f>
        <v> </v>
      </c>
      <c r="W121" s="135"/>
      <c r="X121" s="133" t="str">
        <f>IF(V121="А1",$AZ$7,IF(V121="Б2",$AZ$6,IF(V121="Б1",$BA$7,IF(V121="А2",$BA$6,IF(V121="Х","Х",IF(V121&lt;6," "," "))))))</f>
        <v> </v>
      </c>
      <c r="Y121" s="136"/>
      <c r="Z121" s="133" t="str">
        <f>IF(V121="Х","Х",IF(ISBLANK(Y121),"",IF(Y121&gt;2.5," ",IF(B121=BB$6,BB$7,BB$6))))</f>
        <v/>
      </c>
      <c r="AA121" s="136"/>
      <c r="AB121" s="240" t="str">
        <f>IF(H121="Х",F$5,IF(J121="Х",H$5,IF(L121="Х",J$5,IF(N121="Х",L$5,IF(P121="Х",N$5,IF(R121="Х",P$5,IF(T121="Х",R$5,IF(X121="Х",T$5,""))))))))</f>
        <v/>
      </c>
      <c r="AC121" s="138">
        <f>SUM(G121+I121+K121+M121+O121+Q121+S121+U121+Y121+AA121)</f>
        <v>0</v>
      </c>
      <c r="AD121" s="241" t="str">
        <f>AF121</f>
        <v>55-58</v>
      </c>
      <c r="AE121" s="140" t="str">
        <f>AD121</f>
        <v>55-58</v>
      </c>
      <c r="AF121" s="141" t="str">
        <f>COUNTIF(AG$6:AG$148,"&gt;"&amp;AG$6:AG$148)+1&amp;REPT("-"&amp;COUNTIF(AG$6:AG$148,"&gt;="&amp;AG$6:AG$148),COUNTIF(AG$6:AG$148,AG121)&gt;1)</f>
        <v>55-58</v>
      </c>
      <c r="AG121" s="142">
        <f>(AR121*100)+(AP121*10)-AC121</f>
        <v>1270</v>
      </c>
      <c r="AH121" s="143" t="str">
        <f>IF(OR(F121="Х",F121="св")," ",IF(AND(G121&gt;=0,G121&lt;3),"1"," "))</f>
        <v> </v>
      </c>
      <c r="AI121" s="90" t="str">
        <f>IF(OR(H121="Х",H121="св")," ",IF(AND(I121&gt;=0,I121&lt;3),"1"," "))</f>
        <v>1</v>
      </c>
      <c r="AJ121" s="90" t="str">
        <f>IF(OR(J121="Х",J121="св")," ",IF(AND(K121&gt;=0,K121&lt;3),"1"," "))</f>
        <v>1</v>
      </c>
      <c r="AK121" s="90" t="str">
        <f>IF(OR(L121="Х",L121="св")," ",IF(AND(M121&gt;=0,M121&lt;3),"1"," "))</f>
        <v>1</v>
      </c>
      <c r="AL121" s="90" t="str">
        <f>IF(OR(N121="Х",N121="св")," ",IF(AND(O121&gt;=0,O121&lt;3),"1"," "))</f>
        <v>1</v>
      </c>
      <c r="AM121" s="90" t="str">
        <f>IF(OR(P121="Х",P121="св")," ",IF(AND(Q121&gt;=0,Q121&lt;3),"1"," "))</f>
        <v>1</v>
      </c>
      <c r="AN121" s="90" t="str">
        <f>IF(OR(R121="Х",R121="св")," ",IF(AND(S121&gt;=0,S121&lt;3),"1"," "))</f>
        <v>1</v>
      </c>
      <c r="AO121" s="90" t="str">
        <f>IF(OR(T121="Х",T121="св")," ",IF(AND(U121&gt;=0,U121&lt;3),"1"," "))</f>
        <v>1</v>
      </c>
      <c r="AP121" s="90">
        <f>COUNTIF(AH121:AO122,1)</f>
        <v>7</v>
      </c>
      <c r="AQ121" s="90">
        <f>AG121-AC121</f>
        <v>1270</v>
      </c>
      <c r="AR121" s="144">
        <f>IF(F121=0,0,IF(F121="Х",1,IF(H121="Х",2,IF(J121="Х",3,IF(L121="Х",4,IF(N121="Х",5,IF(P121="Х",6,IF(R121="Х",7,IF(T121="Х",8,IF(V121="Х",9,IF(Y121&gt;2.5,10,IF(AA121&gt;2.5,11,IF(AA121&gt;=0,12,IF(AA121=" ",0,))))))))))))))</f>
        <v>12</v>
      </c>
      <c r="AS121" s="90" t="str">
        <f>COUNTIF(AG$6:AG$134,"&gt;"&amp;AG$6:AG$134)+1&amp;REPT("-"&amp;COUNTIF(AG$6:AG$134,"&gt;="&amp;AG$6:AG$134),COUNTIF(AG$6:AG$134,AG121)&gt;1)</f>
        <v>55-58</v>
      </c>
      <c r="AT121" s="143" t="str">
        <f t="shared" ref="AT121:AW121" si="63">COUNTIF(AU$6:AU$134,"&gt;"&amp;AU$6:AU$134)+1&amp;REPT("-"&amp;COUNTIF(AU$6:AU$134,"&gt;="&amp;AU$6:AU$134),COUNTIF(AU$6:AU$134,AU121)&gt;1)</f>
        <v>1-64</v>
      </c>
      <c r="AU121" s="143" t="str">
        <f t="shared" si="63"/>
        <v>1-0</v>
      </c>
      <c r="AV121" s="143" t="str">
        <f t="shared" si="63"/>
        <v>1</v>
      </c>
      <c r="AW121" s="143" t="str">
        <f t="shared" si="63"/>
        <v>7</v>
      </c>
      <c r="AX121" s="145">
        <f>IF(X121="Х","Х",IF(Y121&lt;3,B121,"Х"))</f>
        <v>58</v>
      </c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195">
        <v>58.0</v>
      </c>
      <c r="BN121" s="196" t="s">
        <v>364</v>
      </c>
      <c r="BO121" s="153">
        <f>IF(BM121&lt;BN121,BM121,"")</f>
        <v>58</v>
      </c>
      <c r="BP121" s="196">
        <v>58.0</v>
      </c>
      <c r="BQ121" s="197"/>
      <c r="BR121" s="198">
        <v>58.0</v>
      </c>
      <c r="BS121" s="196">
        <v>55.0</v>
      </c>
      <c r="BT121" s="175" t="str">
        <f>IF(BR121&lt;BS121,BR121,"")</f>
        <v/>
      </c>
      <c r="BU121" s="196" t="s">
        <v>362</v>
      </c>
      <c r="BV121" s="196"/>
      <c r="BW121" s="199">
        <v>58.0</v>
      </c>
      <c r="BX121" s="74" t="s">
        <v>361</v>
      </c>
      <c r="BY121" s="160">
        <f t="array" ref="BY121">IF(BW121&lt;BX121,BW121,"")</f>
        <v>58</v>
      </c>
      <c r="BZ121" s="160">
        <f t="shared" si="34"/>
        <v>58</v>
      </c>
      <c r="CA121" s="74"/>
      <c r="CB121" s="74" t="str">
        <f t="shared" si="35"/>
        <v>св</v>
      </c>
      <c r="CC121" s="200"/>
      <c r="CD121" s="243"/>
      <c r="CE121" s="200">
        <v>58.0</v>
      </c>
      <c r="CF121" s="25" t="s">
        <v>361</v>
      </c>
      <c r="CG121" s="153">
        <f t="array" ref="CG121">IF(CE121&lt;CF121,CE121,"")</f>
        <v>58</v>
      </c>
      <c r="CH121" s="74">
        <v>58.0</v>
      </c>
      <c r="CI121" s="49"/>
      <c r="CJ121" s="93">
        <v>58.0</v>
      </c>
      <c r="CK121" s="233" t="s">
        <v>361</v>
      </c>
      <c r="CL121" s="153">
        <f t="array" ref="CL121">IF(CJ121&lt;CK121,CJ121,"")</f>
        <v>58</v>
      </c>
      <c r="CM121" s="49">
        <v>58.0</v>
      </c>
      <c r="CN121" s="49"/>
      <c r="CO121" s="74">
        <v>58.0</v>
      </c>
      <c r="CP121" s="200" t="s">
        <v>361</v>
      </c>
      <c r="CQ121" s="153">
        <f t="array" ref="CQ121">IF(CO121&lt;CP121,CO121,"")</f>
        <v>58</v>
      </c>
      <c r="CR121" s="93">
        <v>58.0</v>
      </c>
      <c r="CS121" s="49"/>
      <c r="CT121" s="200">
        <v>58.0</v>
      </c>
      <c r="CU121" s="74" t="s">
        <v>361</v>
      </c>
      <c r="CV121" s="153">
        <f t="array" ref="CV121">IF(CT121&lt;CU121,CT121,"")</f>
        <v>58</v>
      </c>
      <c r="CW121" s="49">
        <v>58.0</v>
      </c>
      <c r="CX121" s="49"/>
      <c r="CY121" s="49">
        <v>58.0</v>
      </c>
      <c r="CZ121" s="49" t="s">
        <v>361</v>
      </c>
      <c r="DA121" s="153">
        <f t="array" ref="DA121">IF(CY121&lt;CZ121,CY121,"")</f>
        <v>58</v>
      </c>
      <c r="DB121" s="49">
        <v>58.0</v>
      </c>
      <c r="DC121" s="49"/>
      <c r="DD121" s="49">
        <v>58.0</v>
      </c>
      <c r="DE121" s="49"/>
      <c r="DF121" s="49"/>
      <c r="DG121" s="49"/>
      <c r="DH121" s="49"/>
    </row>
    <row r="122" ht="13.5" customHeight="1">
      <c r="A122" s="264"/>
      <c r="B122" s="165"/>
      <c r="C122" s="165"/>
      <c r="D122" s="165"/>
      <c r="E122" s="165"/>
      <c r="F122" s="166"/>
      <c r="G122" s="167"/>
      <c r="H122" s="168"/>
      <c r="I122" s="167"/>
      <c r="J122" s="168"/>
      <c r="K122" s="167"/>
      <c r="L122" s="168"/>
      <c r="M122" s="167"/>
      <c r="N122" s="168"/>
      <c r="O122" s="167"/>
      <c r="P122" s="168"/>
      <c r="Q122" s="167"/>
      <c r="R122" s="168"/>
      <c r="S122" s="167"/>
      <c r="T122" s="168"/>
      <c r="U122" s="169"/>
      <c r="V122" s="168"/>
      <c r="W122" s="169"/>
      <c r="X122" s="168"/>
      <c r="Y122" s="167"/>
      <c r="Z122" s="168"/>
      <c r="AA122" s="167"/>
      <c r="AB122" s="166"/>
      <c r="AC122" s="165"/>
      <c r="AD122" s="168"/>
      <c r="AE122" s="170"/>
      <c r="AF122" s="171"/>
      <c r="AG122" s="113"/>
      <c r="AH122" s="113"/>
      <c r="AI122" s="113"/>
      <c r="AJ122" s="113"/>
      <c r="AK122" s="113"/>
      <c r="AL122" s="113"/>
      <c r="AM122" s="113"/>
      <c r="AN122" s="113"/>
      <c r="AO122" s="113"/>
      <c r="AP122" s="113"/>
      <c r="AQ122" s="113"/>
      <c r="AR122" s="113"/>
      <c r="AS122" s="113"/>
      <c r="AT122" s="113"/>
      <c r="AU122" s="113"/>
      <c r="AV122" s="113"/>
      <c r="AW122" s="113"/>
      <c r="AY122" s="49"/>
      <c r="AZ122" s="49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257"/>
      <c r="BN122" s="107"/>
      <c r="BO122" s="175" t="str">
        <f>IF(BO121="","",BN121)</f>
        <v>св</v>
      </c>
      <c r="BP122" s="258">
        <v>0.0</v>
      </c>
      <c r="BQ122" s="259"/>
      <c r="BT122" s="175" t="str">
        <f>IF(BT121="","",BS121)</f>
        <v/>
      </c>
      <c r="BU122" s="175" t="s">
        <v>362</v>
      </c>
      <c r="BV122" s="196"/>
      <c r="BW122" s="257"/>
      <c r="BX122" s="107"/>
      <c r="BY122" s="160" t="str">
        <f>IF(BY121="","",BX121)</f>
        <v> </v>
      </c>
      <c r="BZ122" s="260" t="str">
        <f t="shared" si="34"/>
        <v> </v>
      </c>
      <c r="CA122" s="261"/>
      <c r="CB122" s="262" t="str">
        <f t="shared" si="35"/>
        <v>св</v>
      </c>
      <c r="CC122" s="261"/>
      <c r="CD122" s="263"/>
      <c r="CG122" s="180" t="str">
        <f>IF(CG121="","",CF121)</f>
        <v> </v>
      </c>
      <c r="CH122" s="200" t="s">
        <v>361</v>
      </c>
      <c r="CI122" s="49"/>
      <c r="CJ122" s="49" t="s">
        <v>362</v>
      </c>
      <c r="CK122" s="235"/>
      <c r="CL122" s="180" t="str">
        <f>IF(CL121="","",CK121)</f>
        <v> </v>
      </c>
      <c r="CM122" s="49" t="s">
        <v>361</v>
      </c>
      <c r="CN122" s="49"/>
      <c r="CQ122" s="180" t="str">
        <f>IF(CQ121="","",CP121)</f>
        <v> </v>
      </c>
      <c r="CR122" s="49" t="s">
        <v>361</v>
      </c>
      <c r="CS122" s="49"/>
      <c r="CV122" s="180" t="str">
        <f>IF(CV121="","",CU121)</f>
        <v> </v>
      </c>
      <c r="CW122" s="49" t="s">
        <v>361</v>
      </c>
      <c r="CX122" s="49"/>
      <c r="CY122" s="49" t="s">
        <v>362</v>
      </c>
      <c r="CZ122" s="49"/>
      <c r="DA122" s="180" t="str">
        <f>IF(DA121="","",CZ121)</f>
        <v> </v>
      </c>
      <c r="DB122" s="49" t="s">
        <v>361</v>
      </c>
      <c r="DC122" s="49"/>
      <c r="DD122" s="49" t="s">
        <v>362</v>
      </c>
      <c r="DE122" s="49"/>
      <c r="DF122" s="49"/>
      <c r="DG122" s="49"/>
      <c r="DH122" s="49"/>
    </row>
    <row r="123" ht="13.5" hidden="1" customHeight="1">
      <c r="A123" s="264"/>
      <c r="B123" s="126">
        <v>59.0</v>
      </c>
      <c r="C123" s="188" t="str">
        <f>(VLOOKUP($B123,'Пр.взв'!$D$6:$J$63,2,0))</f>
        <v>#N/A</v>
      </c>
      <c r="D123" s="189" t="str">
        <f>(VLOOKUP($B123,'Пр.взв'!$D$6:$J$63,5,0))</f>
        <v>#N/A</v>
      </c>
      <c r="E123" s="190" t="str">
        <f>(VLOOKUP($B123,'Пр.взв'!$D$6:$M$63,8,0))</f>
        <v>#N/A</v>
      </c>
      <c r="F123" s="130"/>
      <c r="G123" s="134"/>
      <c r="H123" s="132"/>
      <c r="I123" s="136"/>
      <c r="J123" s="133" t="str">
        <f>IF(H123="Х","Х",IF($AC123&lt;6," ","Х"))</f>
        <v> </v>
      </c>
      <c r="K123" s="134"/>
      <c r="L123" s="133" t="str">
        <f>IF(J123="Х","Х",IF(K123&lt;3," ",IF($AC123&lt;6," ","Х")))</f>
        <v> </v>
      </c>
      <c r="M123" s="134"/>
      <c r="N123" s="133" t="str">
        <f>IF(L123="Х","Х",IF(M123&lt;3," ",IF($AC123&lt;6," ","Х")))</f>
        <v> </v>
      </c>
      <c r="O123" s="134"/>
      <c r="P123" s="133" t="str">
        <f>IF(N123="Х","Х",IF(O123&lt;3," ",IF($AC123&lt;6," ","Х")))</f>
        <v> </v>
      </c>
      <c r="Q123" s="134"/>
      <c r="R123" s="133" t="str">
        <f>IF(P123="Х","Х",IF(Q123&lt;3," ",IF($AC123&lt;6," ","Х")))</f>
        <v> </v>
      </c>
      <c r="S123" s="134"/>
      <c r="T123" s="133" t="str">
        <f>IF(R123="Х","Х",IF(S123&lt;3," ",IF($AC123&lt;6," ","Х")))</f>
        <v> </v>
      </c>
      <c r="U123" s="135"/>
      <c r="V123" s="133" t="str">
        <f>IF(T123="Х","Х",IF(U123&lt;3," ",IF($AC123&lt;6," ","Х")))</f>
        <v> </v>
      </c>
      <c r="W123" s="135"/>
      <c r="X123" s="133" t="str">
        <f>IF(V123="А1",$AZ$7,IF(V123="Б2",$AZ$6,IF(V123="Б1",$BA$7,IF(V123="А2",$BA$6,IF(V123="Х","Х",IF(V123&lt;6," "," "))))))</f>
        <v> </v>
      </c>
      <c r="Y123" s="136"/>
      <c r="Z123" s="133" t="str">
        <f>IF(V123="Х","Х",IF(ISBLANK(Y123),"",IF(Y123&gt;2.5," ",IF(B123=BB$6,BB$7,BB$6))))</f>
        <v/>
      </c>
      <c r="AA123" s="136"/>
      <c r="AB123" s="240" t="str">
        <f>IF(H123="Х",F$5,IF(J123="Х",H$5,IF(L123="Х",J$5,IF(N123="Х",L$5,IF(P123="Х",N$5,IF(R123="Х",P$5,IF(T123="Х",R$5,IF(X123="Х",T$5,""))))))))</f>
        <v/>
      </c>
      <c r="AC123" s="138">
        <f>SUM(G123+I123+K123+M123+O123+Q123+S123+U123+Y123+AA123)</f>
        <v>0</v>
      </c>
      <c r="AD123" s="241" t="str">
        <f>AF123</f>
        <v>59-71</v>
      </c>
      <c r="AE123" s="140" t="str">
        <f>AD123</f>
        <v>59-71</v>
      </c>
      <c r="AF123" s="141" t="str">
        <f>COUNTIF(AG$6:AG$148,"&gt;"&amp;AG$6:AG$148)+1&amp;REPT("-"&amp;COUNTIF(AG$6:AG$148,"&gt;="&amp;AG$6:AG$148),COUNTIF(AG$6:AG$148,AG123)&gt;1)</f>
        <v>59-71</v>
      </c>
      <c r="AG123" s="142">
        <f>(AR123*100)+(AP123*10)-AC123</f>
        <v>80</v>
      </c>
      <c r="AH123" s="143" t="str">
        <f>IF(OR(F123="Х",F123="св")," ",IF(AND(G123&gt;=0,G123&lt;3),"1"," "))</f>
        <v>1</v>
      </c>
      <c r="AI123" s="90" t="str">
        <f>IF(OR(H123="Х",H123="св")," ",IF(AND(I123&gt;=0,I123&lt;3),"1"," "))</f>
        <v>1</v>
      </c>
      <c r="AJ123" s="90" t="str">
        <f>IF(OR(J123="Х",J123="св")," ",IF(AND(K123&gt;=0,K123&lt;3),"1"," "))</f>
        <v>1</v>
      </c>
      <c r="AK123" s="90" t="str">
        <f>IF(OR(L123="Х",L123="св")," ",IF(AND(M123&gt;=0,M123&lt;3),"1"," "))</f>
        <v>1</v>
      </c>
      <c r="AL123" s="90" t="str">
        <f>IF(OR(N123="Х",N123="св")," ",IF(AND(O123&gt;=0,O123&lt;3),"1"," "))</f>
        <v>1</v>
      </c>
      <c r="AM123" s="90" t="str">
        <f>IF(OR(P123="Х",P123="св")," ",IF(AND(Q123&gt;=0,Q123&lt;3),"1"," "))</f>
        <v>1</v>
      </c>
      <c r="AN123" s="90" t="str">
        <f>IF(OR(R123="Х",R123="св")," ",IF(AND(S123&gt;=0,S123&lt;3),"1"," "))</f>
        <v>1</v>
      </c>
      <c r="AO123" s="90" t="str">
        <f>IF(OR(T123="Х",T123="св")," ",IF(AND(U123&gt;=0,U123&lt;3),"1"," "))</f>
        <v>1</v>
      </c>
      <c r="AP123" s="90">
        <f>COUNTIF(AH123:AO124,1)</f>
        <v>8</v>
      </c>
      <c r="AQ123" s="90">
        <f>AG123-AC123</f>
        <v>80</v>
      </c>
      <c r="AR123" s="144">
        <f>IF(F123=0,0,IF(F123="Х",1,IF(H123="Х",2,IF(J123="Х",3,IF(L123="Х",4,IF(N123="Х",5,IF(P123="Х",6,IF(R123="Х",7,IF(T123="Х",8,IF(V123="Х",9,IF(Y123&gt;2.5,10,IF(AA123&gt;2.5,11,IF(AA123&gt;=0,12,IF(AA123=" ",0,))))))))))))))</f>
        <v>0</v>
      </c>
      <c r="AS123" s="90" t="str">
        <f>COUNTIF(AG$6:AG$134,"&gt;"&amp;AG$6:AG$134)+1&amp;REPT("-"&amp;COUNTIF(AG$6:AG$134,"&gt;="&amp;AG$6:AG$134),COUNTIF(AG$6:AG$134,AG123)&gt;1)</f>
        <v>59-64</v>
      </c>
      <c r="AT123" s="143" t="str">
        <f t="shared" ref="AT123:AW123" si="64">COUNTIF(AU$6:AU$134,"&gt;"&amp;AU$6:AU$134)+1&amp;REPT("-"&amp;COUNTIF(AU$6:AU$134,"&gt;="&amp;AU$6:AU$134),COUNTIF(AU$6:AU$134,AU123)&gt;1)</f>
        <v>1-64</v>
      </c>
      <c r="AU123" s="143" t="str">
        <f t="shared" si="64"/>
        <v>1-0</v>
      </c>
      <c r="AV123" s="143" t="str">
        <f t="shared" si="64"/>
        <v>1</v>
      </c>
      <c r="AW123" s="143" t="str">
        <f t="shared" si="64"/>
        <v>6</v>
      </c>
      <c r="AX123" s="145">
        <f>IF(X123="Х","Х",IF(Y123&lt;3,B123,"Х"))</f>
        <v>59</v>
      </c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195">
        <v>59.0</v>
      </c>
      <c r="BN123" s="196"/>
      <c r="BO123" s="153" t="str">
        <f>IF(BM123&lt;BN123,BM123,"")</f>
        <v/>
      </c>
      <c r="BP123" s="196" t="s">
        <v>362</v>
      </c>
      <c r="BQ123" s="197"/>
      <c r="BR123" s="198" t="s">
        <v>362</v>
      </c>
      <c r="BS123" s="196"/>
      <c r="BT123" s="175" t="str">
        <f>IF(BR123&lt;BS123,BR123,"")</f>
        <v/>
      </c>
      <c r="BU123" s="196" t="s">
        <v>362</v>
      </c>
      <c r="BV123" s="196"/>
      <c r="BW123" s="199">
        <v>59.0</v>
      </c>
      <c r="BX123" s="74" t="s">
        <v>361</v>
      </c>
      <c r="BY123" s="160">
        <f t="array" ref="BY123">IF(BW123&lt;BX123,BW123,"")</f>
        <v>59</v>
      </c>
      <c r="BZ123" s="160">
        <f t="shared" si="34"/>
        <v>59</v>
      </c>
      <c r="CA123" s="74"/>
      <c r="CB123" s="74" t="str">
        <f t="shared" si="35"/>
        <v>св</v>
      </c>
      <c r="CC123" s="200"/>
      <c r="CD123" s="243"/>
      <c r="CE123" s="200">
        <v>59.0</v>
      </c>
      <c r="CF123" s="25" t="s">
        <v>361</v>
      </c>
      <c r="CG123" s="153">
        <f t="array" ref="CG123">IF(CE123&lt;CF123,CE123,"")</f>
        <v>59</v>
      </c>
      <c r="CH123" s="74">
        <v>59.0</v>
      </c>
      <c r="CI123" s="49"/>
      <c r="CJ123" s="93">
        <v>59.0</v>
      </c>
      <c r="CK123" s="233" t="s">
        <v>361</v>
      </c>
      <c r="CL123" s="153">
        <f t="array" ref="CL123">IF(CJ123&lt;CK123,CJ123,"")</f>
        <v>59</v>
      </c>
      <c r="CM123" s="49">
        <v>59.0</v>
      </c>
      <c r="CN123" s="49"/>
      <c r="CO123" s="74">
        <v>59.0</v>
      </c>
      <c r="CP123" s="200" t="s">
        <v>361</v>
      </c>
      <c r="CQ123" s="153">
        <f t="array" ref="CQ123">IF(CO123&lt;CP123,CO123,"")</f>
        <v>59</v>
      </c>
      <c r="CR123" s="93">
        <v>59.0</v>
      </c>
      <c r="CS123" s="49"/>
      <c r="CT123" s="200">
        <v>59.0</v>
      </c>
      <c r="CU123" s="74" t="s">
        <v>361</v>
      </c>
      <c r="CV123" s="153">
        <f t="array" ref="CV123">IF(CT123&lt;CU123,CT123,"")</f>
        <v>59</v>
      </c>
      <c r="CW123" s="49">
        <v>59.0</v>
      </c>
      <c r="CX123" s="49"/>
      <c r="CY123" s="49">
        <v>59.0</v>
      </c>
      <c r="CZ123" s="49" t="s">
        <v>361</v>
      </c>
      <c r="DA123" s="153">
        <f t="array" ref="DA123">IF(CY123&lt;CZ123,CY123,"")</f>
        <v>59</v>
      </c>
      <c r="DB123" s="49">
        <v>59.0</v>
      </c>
      <c r="DC123" s="49"/>
      <c r="DD123" s="49">
        <v>59.0</v>
      </c>
      <c r="DE123" s="49"/>
      <c r="DF123" s="49"/>
      <c r="DG123" s="49"/>
      <c r="DH123" s="49"/>
    </row>
    <row r="124" ht="13.5" hidden="1" customHeight="1">
      <c r="A124" s="264"/>
      <c r="B124" s="165"/>
      <c r="C124" s="165"/>
      <c r="D124" s="165"/>
      <c r="E124" s="165"/>
      <c r="F124" s="166"/>
      <c r="G124" s="167"/>
      <c r="H124" s="168"/>
      <c r="I124" s="167"/>
      <c r="J124" s="168"/>
      <c r="K124" s="167"/>
      <c r="L124" s="168"/>
      <c r="M124" s="167"/>
      <c r="N124" s="168"/>
      <c r="O124" s="167"/>
      <c r="P124" s="168"/>
      <c r="Q124" s="167"/>
      <c r="R124" s="168"/>
      <c r="S124" s="167"/>
      <c r="T124" s="168"/>
      <c r="U124" s="169"/>
      <c r="V124" s="168"/>
      <c r="W124" s="169"/>
      <c r="X124" s="168"/>
      <c r="Y124" s="167"/>
      <c r="Z124" s="168"/>
      <c r="AA124" s="167"/>
      <c r="AB124" s="166"/>
      <c r="AC124" s="165"/>
      <c r="AD124" s="168"/>
      <c r="AE124" s="170"/>
      <c r="AF124" s="171"/>
      <c r="AG124" s="113"/>
      <c r="AH124" s="113"/>
      <c r="AI124" s="113"/>
      <c r="AJ124" s="113"/>
      <c r="AK124" s="113"/>
      <c r="AL124" s="113"/>
      <c r="AM124" s="113"/>
      <c r="AN124" s="113"/>
      <c r="AO124" s="113"/>
      <c r="AP124" s="113"/>
      <c r="AQ124" s="113"/>
      <c r="AR124" s="113"/>
      <c r="AS124" s="113"/>
      <c r="AT124" s="113"/>
      <c r="AU124" s="113"/>
      <c r="AV124" s="113"/>
      <c r="AW124" s="113"/>
      <c r="AY124" s="49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BM124" s="257"/>
      <c r="BN124" s="107"/>
      <c r="BO124" s="175" t="str">
        <f>IF(BO123="","",BN123)</f>
        <v/>
      </c>
      <c r="BP124" s="258" t="s">
        <v>362</v>
      </c>
      <c r="BQ124" s="259"/>
      <c r="BT124" s="175" t="str">
        <f>IF(BT123="","",BS123)</f>
        <v/>
      </c>
      <c r="BU124" s="175" t="s">
        <v>362</v>
      </c>
      <c r="BV124" s="196"/>
      <c r="BW124" s="257"/>
      <c r="BX124" s="107"/>
      <c r="BY124" s="160" t="str">
        <f>IF(BY123="","",BX123)</f>
        <v> </v>
      </c>
      <c r="BZ124" s="260" t="str">
        <f t="shared" si="34"/>
        <v> </v>
      </c>
      <c r="CA124" s="261"/>
      <c r="CB124" s="262" t="str">
        <f t="shared" si="35"/>
        <v>св</v>
      </c>
      <c r="CC124" s="261"/>
      <c r="CD124" s="263"/>
      <c r="CG124" s="180" t="str">
        <f>IF(CG123="","",CF123)</f>
        <v> </v>
      </c>
      <c r="CH124" s="200" t="s">
        <v>361</v>
      </c>
      <c r="CI124" s="49"/>
      <c r="CJ124" s="49" t="s">
        <v>362</v>
      </c>
      <c r="CK124" s="235"/>
      <c r="CL124" s="180" t="str">
        <f>IF(CL123="","",CK123)</f>
        <v> </v>
      </c>
      <c r="CM124" s="49" t="s">
        <v>361</v>
      </c>
      <c r="CN124" s="49"/>
      <c r="CQ124" s="180" t="str">
        <f>IF(CQ123="","",CP123)</f>
        <v> </v>
      </c>
      <c r="CR124" s="49" t="s">
        <v>361</v>
      </c>
      <c r="CS124" s="49"/>
      <c r="CV124" s="180" t="str">
        <f>IF(CV123="","",CU123)</f>
        <v> </v>
      </c>
      <c r="CW124" s="49" t="s">
        <v>361</v>
      </c>
      <c r="CX124" s="49"/>
      <c r="CY124" s="49" t="s">
        <v>362</v>
      </c>
      <c r="CZ124" s="49"/>
      <c r="DA124" s="180" t="str">
        <f>IF(DA123="","",CZ123)</f>
        <v> </v>
      </c>
      <c r="DB124" s="49" t="s">
        <v>361</v>
      </c>
      <c r="DC124" s="49"/>
      <c r="DD124" s="49" t="s">
        <v>362</v>
      </c>
      <c r="DE124" s="49"/>
      <c r="DF124" s="49"/>
      <c r="DG124" s="49"/>
      <c r="DH124" s="49"/>
    </row>
    <row r="125" ht="13.5" hidden="1" customHeight="1">
      <c r="A125" s="264"/>
      <c r="B125" s="126">
        <v>60.0</v>
      </c>
      <c r="C125" s="188" t="str">
        <f>(VLOOKUP($B125,'Пр.взв'!$D$6:$J$63,2,0))</f>
        <v>#N/A</v>
      </c>
      <c r="D125" s="189" t="str">
        <f>(VLOOKUP($B125,'Пр.взв'!$D$6:$J$63,5,0))</f>
        <v>#N/A</v>
      </c>
      <c r="E125" s="190" t="str">
        <f>(VLOOKUP($B125,'Пр.взв'!$D$6:$M$63,8,0))</f>
        <v>#N/A</v>
      </c>
      <c r="F125" s="130"/>
      <c r="G125" s="134"/>
      <c r="H125" s="132"/>
      <c r="I125" s="136"/>
      <c r="J125" s="133" t="str">
        <f>IF(H125="Х","Х",IF($AC125&lt;6," ","Х"))</f>
        <v> </v>
      </c>
      <c r="K125" s="134"/>
      <c r="L125" s="133" t="str">
        <f>IF(J125="Х","Х",IF(K125&lt;3," ",IF($AC125&lt;6," ","Х")))</f>
        <v> </v>
      </c>
      <c r="M125" s="134"/>
      <c r="N125" s="133" t="str">
        <f>IF(L125="Х","Х",IF(M125&lt;3," ",IF($AC125&lt;6," ","Х")))</f>
        <v> </v>
      </c>
      <c r="O125" s="134"/>
      <c r="P125" s="133" t="str">
        <f>IF(N125="Х","Х",IF(O125&lt;3," ",IF($AC125&lt;6," ","Х")))</f>
        <v> </v>
      </c>
      <c r="Q125" s="134"/>
      <c r="R125" s="133" t="str">
        <f>IF(P125="Х","Х",IF(Q125&lt;3," ",IF($AC125&lt;6," ","Х")))</f>
        <v> </v>
      </c>
      <c r="S125" s="134"/>
      <c r="T125" s="133" t="str">
        <f>IF(R125="Х","Х",IF(S125&lt;3," ",IF($AC125&lt;6," ","Х")))</f>
        <v> </v>
      </c>
      <c r="U125" s="135"/>
      <c r="V125" s="133" t="str">
        <f>IF(T125="Х","Х",IF(U125&lt;3," ",IF($AC125&lt;6," ","Х")))</f>
        <v> </v>
      </c>
      <c r="W125" s="135"/>
      <c r="X125" s="133" t="str">
        <f>IF(V125="А1",$AZ$7,IF(V125="Б2",$AZ$6,IF(V125="Б1",$BA$7,IF(V125="А2",$BA$6,IF(V125="Х","Х",IF(V125&lt;6," "," "))))))</f>
        <v> </v>
      </c>
      <c r="Y125" s="136"/>
      <c r="Z125" s="133" t="str">
        <f>IF(V125="Х","Х",IF(ISBLANK(Y125),"",IF(Y125&gt;2.5," ",IF(B125=BB$6,BB$7,BB$6))))</f>
        <v/>
      </c>
      <c r="AA125" s="136"/>
      <c r="AB125" s="240" t="str">
        <f>IF(H125="Х",F$5,IF(J125="Х",H$5,IF(L125="Х",J$5,IF(N125="Х",L$5,IF(P125="Х",N$5,IF(R125="Х",P$5,IF(T125="Х",R$5,IF(X125="Х",T$5,""))))))))</f>
        <v/>
      </c>
      <c r="AC125" s="138">
        <f>SUM(G125+I125+K125+M125+O125+Q125+S125+U125+Y125+AA125)</f>
        <v>0</v>
      </c>
      <c r="AD125" s="241" t="str">
        <f>AF125</f>
        <v>59-71</v>
      </c>
      <c r="AE125" s="140" t="str">
        <f>AD125</f>
        <v>59-71</v>
      </c>
      <c r="AF125" s="141" t="str">
        <f>COUNTIF(AG$6:AG$148,"&gt;"&amp;AG$6:AG$148)+1&amp;REPT("-"&amp;COUNTIF(AG$6:AG$148,"&gt;="&amp;AG$6:AG$148),COUNTIF(AG$6:AG$148,AG125)&gt;1)</f>
        <v>59-71</v>
      </c>
      <c r="AG125" s="142">
        <f>(AR125*100)+(AP125*10)-AC125</f>
        <v>80</v>
      </c>
      <c r="AH125" s="143" t="str">
        <f>IF(OR(F125="Х",F125="св")," ",IF(AND(G125&gt;=0,G125&lt;3),"1"," "))</f>
        <v>1</v>
      </c>
      <c r="AI125" s="90" t="str">
        <f>IF(OR(H125="Х",H125="св")," ",IF(AND(I125&gt;=0,I125&lt;3),"1"," "))</f>
        <v>1</v>
      </c>
      <c r="AJ125" s="90" t="str">
        <f>IF(OR(J125="Х",J125="св")," ",IF(AND(K125&gt;=0,K125&lt;3),"1"," "))</f>
        <v>1</v>
      </c>
      <c r="AK125" s="90" t="str">
        <f>IF(OR(L125="Х",L125="св")," ",IF(AND(M125&gt;=0,M125&lt;3),"1"," "))</f>
        <v>1</v>
      </c>
      <c r="AL125" s="90" t="str">
        <f>IF(OR(N125="Х",N125="св")," ",IF(AND(O125&gt;=0,O125&lt;3),"1"," "))</f>
        <v>1</v>
      </c>
      <c r="AM125" s="90" t="str">
        <f>IF(OR(P125="Х",P125="св")," ",IF(AND(Q125&gt;=0,Q125&lt;3),"1"," "))</f>
        <v>1</v>
      </c>
      <c r="AN125" s="90" t="str">
        <f>IF(OR(R125="Х",R125="св")," ",IF(AND(S125&gt;=0,S125&lt;3),"1"," "))</f>
        <v>1</v>
      </c>
      <c r="AO125" s="90" t="str">
        <f>IF(OR(T125="Х",T125="св")," ",IF(AND(U125&gt;=0,U125&lt;3),"1"," "))</f>
        <v>1</v>
      </c>
      <c r="AP125" s="90">
        <f>COUNTIF(AH125:AO126,1)</f>
        <v>8</v>
      </c>
      <c r="AQ125" s="90">
        <f>AG125-AC125</f>
        <v>80</v>
      </c>
      <c r="AR125" s="144">
        <f>IF(F125=0,0,IF(F125="Х",1,IF(H125="Х",2,IF(J125="Х",3,IF(L125="Х",4,IF(N125="Х",5,IF(P125="Х",6,IF(R125="Х",7,IF(T125="Х",8,IF(V125="Х",9,IF(Y125&gt;2.5,10,IF(AA125&gt;2.5,11,IF(AA125&gt;=0,12,IF(AA125=" ",0,))))))))))))))</f>
        <v>0</v>
      </c>
      <c r="AS125" s="90" t="str">
        <f>COUNTIF(AG$6:AG$134,"&gt;"&amp;AG$6:AG$134)+1&amp;REPT("-"&amp;COUNTIF(AG$6:AG$134,"&gt;="&amp;AG$6:AG$134),COUNTIF(AG$6:AG$134,AG125)&gt;1)</f>
        <v>59-64</v>
      </c>
      <c r="AT125" s="143" t="str">
        <f t="shared" ref="AT125:AW125" si="65">COUNTIF(AU$6:AU$134,"&gt;"&amp;AU$6:AU$134)+1&amp;REPT("-"&amp;COUNTIF(AU$6:AU$134,"&gt;="&amp;AU$6:AU$134),COUNTIF(AU$6:AU$134,AU125)&gt;1)</f>
        <v>1-64</v>
      </c>
      <c r="AU125" s="143" t="str">
        <f t="shared" si="65"/>
        <v>1-0</v>
      </c>
      <c r="AV125" s="143" t="str">
        <f t="shared" si="65"/>
        <v>1</v>
      </c>
      <c r="AW125" s="143" t="str">
        <f t="shared" si="65"/>
        <v>5</v>
      </c>
      <c r="AX125" s="145">
        <f>IF(X125="Х","Х",IF(Y125&lt;3,B125,"Х"))</f>
        <v>60</v>
      </c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195">
        <v>60.0</v>
      </c>
      <c r="BN125" s="196"/>
      <c r="BO125" s="153" t="str">
        <f>IF(BM125&lt;BN125,BM125,"")</f>
        <v/>
      </c>
      <c r="BP125" s="196" t="s">
        <v>362</v>
      </c>
      <c r="BQ125" s="197"/>
      <c r="BR125" s="198" t="s">
        <v>362</v>
      </c>
      <c r="BS125" s="196"/>
      <c r="BT125" s="175" t="str">
        <f>IF(BR125&lt;BS125,BR125,"")</f>
        <v/>
      </c>
      <c r="BU125" s="196" t="s">
        <v>362</v>
      </c>
      <c r="BV125" s="196"/>
      <c r="BW125" s="199">
        <v>60.0</v>
      </c>
      <c r="BX125" s="74" t="s">
        <v>361</v>
      </c>
      <c r="BY125" s="160">
        <f t="array" ref="BY125">IF(BW125&lt;BX125,BW125,"")</f>
        <v>60</v>
      </c>
      <c r="BZ125" s="160">
        <f t="shared" si="34"/>
        <v>60</v>
      </c>
      <c r="CA125" s="74"/>
      <c r="CB125" s="74" t="str">
        <f t="shared" si="35"/>
        <v>св</v>
      </c>
      <c r="CC125" s="200"/>
      <c r="CD125" s="243"/>
      <c r="CE125" s="200">
        <v>60.0</v>
      </c>
      <c r="CF125" s="25" t="s">
        <v>361</v>
      </c>
      <c r="CG125" s="153">
        <f t="array" ref="CG125">IF(CE125&lt;CF125,CE125,"")</f>
        <v>60</v>
      </c>
      <c r="CH125" s="74">
        <v>60.0</v>
      </c>
      <c r="CI125" s="49"/>
      <c r="CJ125" s="93">
        <v>60.0</v>
      </c>
      <c r="CK125" s="233" t="s">
        <v>361</v>
      </c>
      <c r="CL125" s="153">
        <f t="array" ref="CL125">IF(CJ125&lt;CK125,CJ125,"")</f>
        <v>60</v>
      </c>
      <c r="CM125" s="49">
        <v>60.0</v>
      </c>
      <c r="CN125" s="49"/>
      <c r="CO125" s="74">
        <v>60.0</v>
      </c>
      <c r="CP125" s="200" t="s">
        <v>361</v>
      </c>
      <c r="CQ125" s="153">
        <f t="array" ref="CQ125">IF(CO125&lt;CP125,CO125,"")</f>
        <v>60</v>
      </c>
      <c r="CR125" s="93">
        <v>60.0</v>
      </c>
      <c r="CS125" s="49"/>
      <c r="CT125" s="200">
        <v>60.0</v>
      </c>
      <c r="CU125" s="74" t="s">
        <v>361</v>
      </c>
      <c r="CV125" s="153">
        <f t="array" ref="CV125">IF(CT125&lt;CU125,CT125,"")</f>
        <v>60</v>
      </c>
      <c r="CW125" s="49">
        <v>60.0</v>
      </c>
      <c r="CX125" s="49"/>
      <c r="CY125" s="49">
        <v>60.0</v>
      </c>
      <c r="CZ125" s="49" t="s">
        <v>361</v>
      </c>
      <c r="DA125" s="153">
        <f t="array" ref="DA125">IF(CY125&lt;CZ125,CY125,"")</f>
        <v>60</v>
      </c>
      <c r="DB125" s="49">
        <v>60.0</v>
      </c>
      <c r="DC125" s="49"/>
      <c r="DD125" s="49">
        <v>60.0</v>
      </c>
      <c r="DE125" s="49"/>
      <c r="DF125" s="49"/>
      <c r="DG125" s="49"/>
      <c r="DH125" s="49"/>
    </row>
    <row r="126" ht="13.5" hidden="1" customHeight="1">
      <c r="A126" s="264"/>
      <c r="B126" s="165"/>
      <c r="C126" s="165"/>
      <c r="D126" s="165"/>
      <c r="E126" s="165"/>
      <c r="F126" s="166"/>
      <c r="G126" s="167"/>
      <c r="H126" s="168"/>
      <c r="I126" s="167"/>
      <c r="J126" s="168"/>
      <c r="K126" s="167"/>
      <c r="L126" s="168"/>
      <c r="M126" s="167"/>
      <c r="N126" s="168"/>
      <c r="O126" s="167"/>
      <c r="P126" s="168"/>
      <c r="Q126" s="167"/>
      <c r="R126" s="168"/>
      <c r="S126" s="167"/>
      <c r="T126" s="168"/>
      <c r="U126" s="169"/>
      <c r="V126" s="168"/>
      <c r="W126" s="169"/>
      <c r="X126" s="168"/>
      <c r="Y126" s="167"/>
      <c r="Z126" s="168"/>
      <c r="AA126" s="167"/>
      <c r="AB126" s="166"/>
      <c r="AC126" s="165"/>
      <c r="AD126" s="168"/>
      <c r="AE126" s="170"/>
      <c r="AF126" s="171"/>
      <c r="AG126" s="113"/>
      <c r="AH126" s="113"/>
      <c r="AI126" s="113"/>
      <c r="AJ126" s="113"/>
      <c r="AK126" s="113"/>
      <c r="AL126" s="113"/>
      <c r="AM126" s="113"/>
      <c r="AN126" s="113"/>
      <c r="AO126" s="113"/>
      <c r="AP126" s="113"/>
      <c r="AQ126" s="113"/>
      <c r="AR126" s="113"/>
      <c r="AS126" s="113"/>
      <c r="AT126" s="113"/>
      <c r="AU126" s="113"/>
      <c r="AV126" s="113"/>
      <c r="AW126" s="113"/>
      <c r="AY126" s="49"/>
      <c r="AZ126" s="49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257"/>
      <c r="BN126" s="107"/>
      <c r="BO126" s="175" t="str">
        <f>IF(BO125="","",BN125)</f>
        <v/>
      </c>
      <c r="BP126" s="258" t="s">
        <v>362</v>
      </c>
      <c r="BQ126" s="259"/>
      <c r="BT126" s="175" t="str">
        <f>IF(BT125="","",BS125)</f>
        <v/>
      </c>
      <c r="BU126" s="175" t="s">
        <v>362</v>
      </c>
      <c r="BV126" s="196"/>
      <c r="BW126" s="257"/>
      <c r="BX126" s="107"/>
      <c r="BY126" s="160" t="str">
        <f>IF(BY125="","",BX125)</f>
        <v> </v>
      </c>
      <c r="BZ126" s="260" t="str">
        <f t="shared" si="34"/>
        <v> </v>
      </c>
      <c r="CA126" s="261"/>
      <c r="CB126" s="262" t="str">
        <f t="shared" si="35"/>
        <v>св</v>
      </c>
      <c r="CC126" s="261"/>
      <c r="CD126" s="263"/>
      <c r="CG126" s="180" t="str">
        <f>IF(CG125="","",CF125)</f>
        <v> </v>
      </c>
      <c r="CH126" s="200" t="s">
        <v>361</v>
      </c>
      <c r="CI126" s="49"/>
      <c r="CJ126" s="49" t="s">
        <v>362</v>
      </c>
      <c r="CK126" s="235"/>
      <c r="CL126" s="180" t="str">
        <f>IF(CL125="","",CK125)</f>
        <v> </v>
      </c>
      <c r="CM126" s="49" t="s">
        <v>361</v>
      </c>
      <c r="CN126" s="49"/>
      <c r="CQ126" s="180" t="str">
        <f>IF(CQ125="","",CP125)</f>
        <v> </v>
      </c>
      <c r="CR126" s="49" t="s">
        <v>361</v>
      </c>
      <c r="CS126" s="49"/>
      <c r="CV126" s="180" t="str">
        <f>IF(CV125="","",CU125)</f>
        <v> </v>
      </c>
      <c r="CW126" s="49" t="s">
        <v>361</v>
      </c>
      <c r="CX126" s="49"/>
      <c r="CY126" s="49" t="s">
        <v>362</v>
      </c>
      <c r="CZ126" s="49"/>
      <c r="DA126" s="180" t="str">
        <f>IF(DA125="","",CZ125)</f>
        <v> </v>
      </c>
      <c r="DB126" s="49" t="s">
        <v>361</v>
      </c>
      <c r="DC126" s="49"/>
      <c r="DD126" s="49" t="s">
        <v>362</v>
      </c>
      <c r="DE126" s="49"/>
      <c r="DF126" s="49"/>
      <c r="DG126" s="49"/>
      <c r="DH126" s="49"/>
    </row>
    <row r="127" ht="13.5" hidden="1" customHeight="1">
      <c r="A127" s="264"/>
      <c r="B127" s="126">
        <v>61.0</v>
      </c>
      <c r="C127" s="188" t="str">
        <f>(VLOOKUP($B127,'Пр.взв'!$D$6:$J$63,2,0))</f>
        <v>#N/A</v>
      </c>
      <c r="D127" s="189" t="str">
        <f>(VLOOKUP($B127,'Пр.взв'!$D$6:$J$63,5,0))</f>
        <v>#N/A</v>
      </c>
      <c r="E127" s="190" t="str">
        <f>(VLOOKUP($B127,'Пр.взв'!$D$6:$M$63,8,0))</f>
        <v>#N/A</v>
      </c>
      <c r="F127" s="130"/>
      <c r="G127" s="134"/>
      <c r="H127" s="132"/>
      <c r="I127" s="134"/>
      <c r="J127" s="133" t="str">
        <f>IF(H127="Х","Х",IF($AC127&lt;6," ","Х"))</f>
        <v> </v>
      </c>
      <c r="K127" s="134"/>
      <c r="L127" s="133" t="str">
        <f>IF(J127="Х","Х",IF(K127&lt;3," ",IF($AC127&lt;6," ","Х")))</f>
        <v> </v>
      </c>
      <c r="M127" s="134"/>
      <c r="N127" s="133" t="str">
        <f>IF(L127="Х","Х",IF(M127&lt;3," ",IF($AC127&lt;6," ","Х")))</f>
        <v> </v>
      </c>
      <c r="O127" s="134"/>
      <c r="P127" s="133" t="str">
        <f>IF(N127="Х","Х",IF(O127&lt;3," ",IF($AC127&lt;6," ","Х")))</f>
        <v> </v>
      </c>
      <c r="Q127" s="134"/>
      <c r="R127" s="133" t="str">
        <f>IF(P127="Х","Х",IF(Q127&lt;3," ",IF($AC127&lt;6," ","Х")))</f>
        <v> </v>
      </c>
      <c r="S127" s="134"/>
      <c r="T127" s="133" t="str">
        <f>IF(R127="Х","Х",IF(S127&lt;3," ",IF($AC127&lt;6," ","Х")))</f>
        <v> </v>
      </c>
      <c r="U127" s="135"/>
      <c r="V127" s="133" t="str">
        <f>IF(T127="Х","Х",IF(U127&lt;3," ",IF($AC127&lt;6," ","Х")))</f>
        <v> </v>
      </c>
      <c r="W127" s="135"/>
      <c r="X127" s="133" t="str">
        <f>IF(V127="А1",$AZ$7,IF(V127="Б2",$AZ$6,IF(V127="Б1",$BA$7,IF(V127="А2",$BA$6,IF(V127="Х","Х",IF(V127&lt;6," "," "))))))</f>
        <v> </v>
      </c>
      <c r="Y127" s="136"/>
      <c r="Z127" s="133" t="str">
        <f>IF(V127="Х","Х",IF(ISBLANK(Y127),"",IF(Y127&gt;2.5," ",IF(B127=BB$6,BB$7,BB$6))))</f>
        <v/>
      </c>
      <c r="AA127" s="136"/>
      <c r="AB127" s="240" t="str">
        <f>IF(H127="Х",F$5,IF(J127="Х",H$5,IF(L127="Х",J$5,IF(N127="Х",L$5,IF(P127="Х",N$5,IF(R127="Х",P$5,IF(T127="Х",R$5,IF(X127="Х",T$5,""))))))))</f>
        <v/>
      </c>
      <c r="AC127" s="138">
        <f>SUM(G127+I127+K127+M127+O127+Q127+S127+U127+Y127+AA127)</f>
        <v>0</v>
      </c>
      <c r="AD127" s="241" t="str">
        <f>AF127</f>
        <v>59-71</v>
      </c>
      <c r="AE127" s="140" t="str">
        <f>AD127</f>
        <v>59-71</v>
      </c>
      <c r="AF127" s="141" t="str">
        <f>COUNTIF(AG$6:AG$148,"&gt;"&amp;AG$6:AG$148)+1&amp;REPT("-"&amp;COUNTIF(AG$6:AG$148,"&gt;="&amp;AG$6:AG$148),COUNTIF(AG$6:AG$148,AG127)&gt;1)</f>
        <v>59-71</v>
      </c>
      <c r="AG127" s="142">
        <f>(AR127*100)+(AP127*10)-AC127</f>
        <v>80</v>
      </c>
      <c r="AH127" s="143" t="str">
        <f>IF(OR(F127="Х",F127="св")," ",IF(AND(G127&gt;=0,G127&lt;3),"1"," "))</f>
        <v>1</v>
      </c>
      <c r="AI127" s="90" t="str">
        <f>IF(OR(H127="Х",H127="св")," ",IF(AND(I127&gt;=0,I127&lt;3),"1"," "))</f>
        <v>1</v>
      </c>
      <c r="AJ127" s="90" t="str">
        <f>IF(OR(J127="Х",J127="св")," ",IF(AND(K127&gt;=0,K127&lt;3),"1"," "))</f>
        <v>1</v>
      </c>
      <c r="AK127" s="90" t="str">
        <f>IF(OR(L127="Х",L127="св")," ",IF(AND(M127&gt;=0,M127&lt;3),"1"," "))</f>
        <v>1</v>
      </c>
      <c r="AL127" s="90" t="str">
        <f>IF(OR(N127="Х",N127="св")," ",IF(AND(O127&gt;=0,O127&lt;3),"1"," "))</f>
        <v>1</v>
      </c>
      <c r="AM127" s="90" t="str">
        <f>IF(OR(P127="Х",P127="св")," ",IF(AND(Q127&gt;=0,Q127&lt;3),"1"," "))</f>
        <v>1</v>
      </c>
      <c r="AN127" s="90" t="str">
        <f>IF(OR(R127="Х",R127="св")," ",IF(AND(S127&gt;=0,S127&lt;3),"1"," "))</f>
        <v>1</v>
      </c>
      <c r="AO127" s="90" t="str">
        <f>IF(OR(T127="Х",T127="св")," ",IF(AND(U127&gt;=0,U127&lt;3),"1"," "))</f>
        <v>1</v>
      </c>
      <c r="AP127" s="90">
        <f>COUNTIF(AH127:AO128,1)</f>
        <v>8</v>
      </c>
      <c r="AQ127" s="90">
        <f>AG127-AC127</f>
        <v>80</v>
      </c>
      <c r="AR127" s="144">
        <f>IF(F127=0,0,IF(F127="Х",1,IF(H127="Х",2,IF(J127="Х",3,IF(L127="Х",4,IF(N127="Х",5,IF(P127="Х",6,IF(R127="Х",7,IF(T127="Х",8,IF(V127="Х",9,IF(Y127&gt;2.5,10,IF(AA127&gt;2.5,11,IF(AA127&gt;=0,12,IF(AA127=" ",0,))))))))))))))</f>
        <v>0</v>
      </c>
      <c r="AS127" s="90" t="str">
        <f>COUNTIF(AG$6:AG$134,"&gt;"&amp;AG$6:AG$134)+1&amp;REPT("-"&amp;COUNTIF(AG$6:AG$134,"&gt;="&amp;AG$6:AG$134),COUNTIF(AG$6:AG$134,AG127)&gt;1)</f>
        <v>59-64</v>
      </c>
      <c r="AT127" s="143" t="str">
        <f t="shared" ref="AT127:AW127" si="66">COUNTIF(AU$6:AU$134,"&gt;"&amp;AU$6:AU$134)+1&amp;REPT("-"&amp;COUNTIF(AU$6:AU$134,"&gt;="&amp;AU$6:AU$134),COUNTIF(AU$6:AU$134,AU127)&gt;1)</f>
        <v>1-64</v>
      </c>
      <c r="AU127" s="143" t="str">
        <f t="shared" si="66"/>
        <v>1-0</v>
      </c>
      <c r="AV127" s="143" t="str">
        <f t="shared" si="66"/>
        <v>1</v>
      </c>
      <c r="AW127" s="143" t="str">
        <f t="shared" si="66"/>
        <v>4</v>
      </c>
      <c r="AX127" s="145">
        <f>IF(X127="Х","Х",IF(Y127&lt;3,B127,"Х"))</f>
        <v>61</v>
      </c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195">
        <v>61.0</v>
      </c>
      <c r="BN127" s="196"/>
      <c r="BO127" s="153" t="str">
        <f>IF(BM127&lt;BN127,BM127,"")</f>
        <v/>
      </c>
      <c r="BP127" s="196" t="s">
        <v>362</v>
      </c>
      <c r="BQ127" s="197"/>
      <c r="BR127" s="198" t="s">
        <v>362</v>
      </c>
      <c r="BS127" s="196"/>
      <c r="BT127" s="175" t="str">
        <f>IF(BR127&lt;BS127,BR127,"")</f>
        <v/>
      </c>
      <c r="BU127" s="196" t="s">
        <v>362</v>
      </c>
      <c r="BV127" s="196"/>
      <c r="BW127" s="199">
        <v>61.0</v>
      </c>
      <c r="BX127" s="74" t="s">
        <v>361</v>
      </c>
      <c r="BY127" s="160">
        <f t="array" ref="BY127">IF(BW127&lt;BX127,BW127,"")</f>
        <v>61</v>
      </c>
      <c r="BZ127" s="160">
        <f t="shared" si="34"/>
        <v>61</v>
      </c>
      <c r="CA127" s="74"/>
      <c r="CB127" s="74" t="str">
        <f t="shared" si="35"/>
        <v>св</v>
      </c>
      <c r="CC127" s="200"/>
      <c r="CD127" s="243"/>
      <c r="CE127" s="200">
        <v>61.0</v>
      </c>
      <c r="CF127" s="25" t="s">
        <v>361</v>
      </c>
      <c r="CG127" s="153">
        <f t="array" ref="CG127">IF(CE127&lt;CF127,CE127,"")</f>
        <v>61</v>
      </c>
      <c r="CH127" s="74">
        <v>61.0</v>
      </c>
      <c r="CI127" s="49"/>
      <c r="CJ127" s="93">
        <v>61.0</v>
      </c>
      <c r="CK127" s="233" t="s">
        <v>361</v>
      </c>
      <c r="CL127" s="153">
        <f t="array" ref="CL127">IF(CJ127&lt;CK127,CJ127,"")</f>
        <v>61</v>
      </c>
      <c r="CM127" s="49">
        <v>61.0</v>
      </c>
      <c r="CN127" s="49"/>
      <c r="CO127" s="74">
        <v>61.0</v>
      </c>
      <c r="CP127" s="200" t="s">
        <v>361</v>
      </c>
      <c r="CQ127" s="153">
        <f t="array" ref="CQ127">IF(CO127&lt;CP127,CO127,"")</f>
        <v>61</v>
      </c>
      <c r="CR127" s="93">
        <v>61.0</v>
      </c>
      <c r="CS127" s="49"/>
      <c r="CT127" s="200">
        <v>61.0</v>
      </c>
      <c r="CU127" s="74" t="s">
        <v>361</v>
      </c>
      <c r="CV127" s="153">
        <f t="array" ref="CV127">IF(CT127&lt;CU127,CT127,"")</f>
        <v>61</v>
      </c>
      <c r="CW127" s="49">
        <v>61.0</v>
      </c>
      <c r="CX127" s="49"/>
      <c r="CY127" s="49">
        <v>61.0</v>
      </c>
      <c r="CZ127" s="49" t="s">
        <v>361</v>
      </c>
      <c r="DA127" s="153">
        <f t="array" ref="DA127">IF(CY127&lt;CZ127,CY127,"")</f>
        <v>61</v>
      </c>
      <c r="DB127" s="49">
        <v>61.0</v>
      </c>
      <c r="DC127" s="49"/>
      <c r="DD127" s="49">
        <v>61.0</v>
      </c>
      <c r="DE127" s="49"/>
      <c r="DF127" s="49"/>
      <c r="DG127" s="49"/>
      <c r="DH127" s="49"/>
    </row>
    <row r="128" ht="13.5" hidden="1" customHeight="1">
      <c r="A128" s="264"/>
      <c r="B128" s="165"/>
      <c r="C128" s="165"/>
      <c r="D128" s="165"/>
      <c r="E128" s="165"/>
      <c r="F128" s="166"/>
      <c r="G128" s="167"/>
      <c r="H128" s="168"/>
      <c r="I128" s="167"/>
      <c r="J128" s="168"/>
      <c r="K128" s="167"/>
      <c r="L128" s="168"/>
      <c r="M128" s="167"/>
      <c r="N128" s="168"/>
      <c r="O128" s="167"/>
      <c r="P128" s="168"/>
      <c r="Q128" s="167"/>
      <c r="R128" s="168"/>
      <c r="S128" s="167"/>
      <c r="T128" s="168"/>
      <c r="U128" s="169"/>
      <c r="V128" s="168"/>
      <c r="W128" s="169"/>
      <c r="X128" s="168"/>
      <c r="Y128" s="167"/>
      <c r="Z128" s="168"/>
      <c r="AA128" s="167"/>
      <c r="AB128" s="166"/>
      <c r="AC128" s="165"/>
      <c r="AD128" s="168"/>
      <c r="AE128" s="170"/>
      <c r="AF128" s="171"/>
      <c r="AG128" s="113"/>
      <c r="AH128" s="113"/>
      <c r="AI128" s="113"/>
      <c r="AJ128" s="113"/>
      <c r="AK128" s="113"/>
      <c r="AL128" s="113"/>
      <c r="AM128" s="113"/>
      <c r="AN128" s="113"/>
      <c r="AO128" s="113"/>
      <c r="AP128" s="113"/>
      <c r="AQ128" s="113"/>
      <c r="AR128" s="113"/>
      <c r="AS128" s="113"/>
      <c r="AT128" s="113"/>
      <c r="AU128" s="113"/>
      <c r="AV128" s="113"/>
      <c r="AW128" s="113"/>
      <c r="AY128" s="49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257"/>
      <c r="BN128" s="107"/>
      <c r="BO128" s="175" t="str">
        <f>IF(BO127="","",BN127)</f>
        <v/>
      </c>
      <c r="BP128" s="258" t="s">
        <v>362</v>
      </c>
      <c r="BQ128" s="259"/>
      <c r="BT128" s="175" t="str">
        <f>IF(BT127="","",BS127)</f>
        <v/>
      </c>
      <c r="BU128" s="175" t="s">
        <v>362</v>
      </c>
      <c r="BV128" s="196"/>
      <c r="BW128" s="257"/>
      <c r="BX128" s="107"/>
      <c r="BY128" s="160" t="str">
        <f>IF(BY127="","",BX127)</f>
        <v> </v>
      </c>
      <c r="BZ128" s="260" t="str">
        <f t="shared" si="34"/>
        <v> </v>
      </c>
      <c r="CA128" s="261"/>
      <c r="CB128" s="262" t="str">
        <f t="shared" si="35"/>
        <v>св</v>
      </c>
      <c r="CC128" s="261"/>
      <c r="CD128" s="263"/>
      <c r="CG128" s="180" t="str">
        <f>IF(CG127="","",CF127)</f>
        <v> </v>
      </c>
      <c r="CH128" s="200" t="s">
        <v>361</v>
      </c>
      <c r="CI128" s="49"/>
      <c r="CJ128" s="49" t="s">
        <v>362</v>
      </c>
      <c r="CK128" s="235"/>
      <c r="CL128" s="180" t="str">
        <f>IF(CL127="","",CK127)</f>
        <v> </v>
      </c>
      <c r="CM128" s="49" t="s">
        <v>361</v>
      </c>
      <c r="CN128" s="49"/>
      <c r="CQ128" s="180" t="str">
        <f>IF(CQ127="","",CP127)</f>
        <v> </v>
      </c>
      <c r="CR128" s="49" t="s">
        <v>361</v>
      </c>
      <c r="CS128" s="49"/>
      <c r="CV128" s="180" t="str">
        <f>IF(CV127="","",CU127)</f>
        <v> </v>
      </c>
      <c r="CW128" s="49" t="s">
        <v>361</v>
      </c>
      <c r="CX128" s="49"/>
      <c r="CY128" s="49" t="s">
        <v>362</v>
      </c>
      <c r="CZ128" s="49"/>
      <c r="DA128" s="180" t="str">
        <f>IF(DA127="","",CZ127)</f>
        <v> </v>
      </c>
      <c r="DB128" s="49" t="s">
        <v>361</v>
      </c>
      <c r="DC128" s="49"/>
      <c r="DD128" s="49" t="s">
        <v>362</v>
      </c>
      <c r="DE128" s="49"/>
      <c r="DF128" s="49"/>
      <c r="DG128" s="49"/>
      <c r="DH128" s="49"/>
    </row>
    <row r="129" ht="13.5" hidden="1" customHeight="1">
      <c r="A129" s="264"/>
      <c r="B129" s="126">
        <v>62.0</v>
      </c>
      <c r="C129" s="188" t="str">
        <f>(VLOOKUP($B129,'Пр.взв'!$D$6:$J$63,2,0))</f>
        <v>#N/A</v>
      </c>
      <c r="D129" s="189" t="str">
        <f>(VLOOKUP($B129,'Пр.взв'!$D$6:$J$63,5,0))</f>
        <v>#N/A</v>
      </c>
      <c r="E129" s="190" t="str">
        <f>(VLOOKUP($B129,'Пр.взв'!$D$6:$M$63,8,0))</f>
        <v>#N/A</v>
      </c>
      <c r="F129" s="130"/>
      <c r="G129" s="134"/>
      <c r="H129" s="132"/>
      <c r="I129" s="134"/>
      <c r="J129" s="133" t="str">
        <f>IF(H129="Х","Х",IF($AC129&lt;6," ","Х"))</f>
        <v> </v>
      </c>
      <c r="K129" s="134"/>
      <c r="L129" s="133" t="str">
        <f>IF(J129="Х","Х",IF(K129&lt;3," ",IF($AC129&lt;6," ","Х")))</f>
        <v> </v>
      </c>
      <c r="M129" s="134"/>
      <c r="N129" s="133" t="str">
        <f>IF(L129="Х","Х",IF(M129&lt;3," ",IF($AC129&lt;6," ","Х")))</f>
        <v> </v>
      </c>
      <c r="O129" s="134"/>
      <c r="P129" s="133" t="str">
        <f>IF(N129="Х","Х",IF(O129&lt;3," ",IF($AC129&lt;6," ","Х")))</f>
        <v> </v>
      </c>
      <c r="Q129" s="134"/>
      <c r="R129" s="133" t="str">
        <f>IF(P129="Х","Х",IF(Q129&lt;3," ",IF($AC129&lt;6," ","Х")))</f>
        <v> </v>
      </c>
      <c r="S129" s="134"/>
      <c r="T129" s="133" t="str">
        <f>IF(R129="Х","Х",IF(S129&lt;3," ",IF($AC129&lt;6," ","Х")))</f>
        <v> </v>
      </c>
      <c r="U129" s="135"/>
      <c r="V129" s="133" t="str">
        <f>IF(T129="Х","Х",IF(U129&lt;3," ",IF($AC129&lt;6," ","Х")))</f>
        <v> </v>
      </c>
      <c r="W129" s="135"/>
      <c r="X129" s="133" t="str">
        <f>IF(V129="А1",$AZ$7,IF(V129="Б2",$AZ$6,IF(V129="Б1",$BA$7,IF(V129="А2",$BA$6,IF(V129="Х","Х",IF(V129&lt;6," "," "))))))</f>
        <v> </v>
      </c>
      <c r="Y129" s="136"/>
      <c r="Z129" s="133" t="str">
        <f>IF(V129="Х","Х",IF(ISBLANK(Y129),"",IF(Y129&gt;2.5," ",IF(B129=BB$6,BB$7,BB$6))))</f>
        <v/>
      </c>
      <c r="AA129" s="136"/>
      <c r="AB129" s="240" t="str">
        <f>IF(H129="Х",F$5,IF(J129="Х",H$5,IF(L129="Х",J$5,IF(N129="Х",L$5,IF(P129="Х",N$5,IF(R129="Х",P$5,IF(T129="Х",R$5,IF(X129="Х",T$5,""))))))))</f>
        <v/>
      </c>
      <c r="AC129" s="138">
        <f>SUM(G129+I129+K129+M129+O129+Q129+S129+U129+Y129+AA129)</f>
        <v>0</v>
      </c>
      <c r="AD129" s="241" t="str">
        <f>AF129</f>
        <v>59-71</v>
      </c>
      <c r="AE129" s="140" t="str">
        <f>AD129</f>
        <v>59-71</v>
      </c>
      <c r="AF129" s="141" t="str">
        <f>COUNTIF(AG$6:AG$148,"&gt;"&amp;AG$6:AG$148)+1&amp;REPT("-"&amp;COUNTIF(AG$6:AG$148,"&gt;="&amp;AG$6:AG$148),COUNTIF(AG$6:AG$148,AG129)&gt;1)</f>
        <v>59-71</v>
      </c>
      <c r="AG129" s="142">
        <f>(AR129*100)+(AP129*10)-AC129</f>
        <v>80</v>
      </c>
      <c r="AH129" s="143" t="str">
        <f>IF(OR(F129="Х",F129="св")," ",IF(AND(G129&gt;=0,G129&lt;3),"1"," "))</f>
        <v>1</v>
      </c>
      <c r="AI129" s="90" t="str">
        <f>IF(OR(H129="Х",H129="св")," ",IF(AND(I129&gt;=0,I129&lt;3),"1"," "))</f>
        <v>1</v>
      </c>
      <c r="AJ129" s="90" t="str">
        <f>IF(OR(J129="Х",J129="св")," ",IF(AND(K129&gt;=0,K129&lt;3),"1"," "))</f>
        <v>1</v>
      </c>
      <c r="AK129" s="90" t="str">
        <f>IF(OR(L129="Х",L129="св")," ",IF(AND(M129&gt;=0,M129&lt;3),"1"," "))</f>
        <v>1</v>
      </c>
      <c r="AL129" s="90" t="str">
        <f>IF(OR(N129="Х",N129="св")," ",IF(AND(O129&gt;=0,O129&lt;3),"1"," "))</f>
        <v>1</v>
      </c>
      <c r="AM129" s="90" t="str">
        <f>IF(OR(P129="Х",P129="св")," ",IF(AND(Q129&gt;=0,Q129&lt;3),"1"," "))</f>
        <v>1</v>
      </c>
      <c r="AN129" s="90" t="str">
        <f>IF(OR(R129="Х",R129="св")," ",IF(AND(S129&gt;=0,S129&lt;3),"1"," "))</f>
        <v>1</v>
      </c>
      <c r="AO129" s="90" t="str">
        <f>IF(OR(T129="Х",T129="св")," ",IF(AND(U129&gt;=0,U129&lt;3),"1"," "))</f>
        <v>1</v>
      </c>
      <c r="AP129" s="90">
        <f>COUNTIF(AH129:AO130,1)</f>
        <v>8</v>
      </c>
      <c r="AQ129" s="90">
        <f>AG129-AC129</f>
        <v>80</v>
      </c>
      <c r="AR129" s="144">
        <f>IF(F129=0,0,IF(F129="Х",1,IF(H129="Х",2,IF(J129="Х",3,IF(L129="Х",4,IF(N129="Х",5,IF(P129="Х",6,IF(R129="Х",7,IF(T129="Х",8,IF(V129="Х",9,IF(Y129&gt;2.5,10,IF(AA129&gt;2.5,11,IF(AA129&gt;=0,12,IF(AA129=" ",0,))))))))))))))</f>
        <v>0</v>
      </c>
      <c r="AS129" s="90" t="str">
        <f>COUNTIF(AG$6:AG$134,"&gt;"&amp;AG$6:AG$134)+1&amp;REPT("-"&amp;COUNTIF(AG$6:AG$134,"&gt;="&amp;AG$6:AG$134),COUNTIF(AG$6:AG$134,AG129)&gt;1)</f>
        <v>59-64</v>
      </c>
      <c r="AT129" s="143" t="str">
        <f t="shared" ref="AT129:AW129" si="67">COUNTIF(AU$6:AU$134,"&gt;"&amp;AU$6:AU$134)+1&amp;REPT("-"&amp;COUNTIF(AU$6:AU$134,"&gt;="&amp;AU$6:AU$134),COUNTIF(AU$6:AU$134,AU129)&gt;1)</f>
        <v>1-64</v>
      </c>
      <c r="AU129" s="143" t="str">
        <f t="shared" si="67"/>
        <v>1-0</v>
      </c>
      <c r="AV129" s="143" t="str">
        <f t="shared" si="67"/>
        <v>1</v>
      </c>
      <c r="AW129" s="143" t="str">
        <f t="shared" si="67"/>
        <v>3</v>
      </c>
      <c r="AX129" s="145">
        <f>IF(X129="Х","Х",IF(Y129&lt;3,B129,"Х"))</f>
        <v>62</v>
      </c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195">
        <v>62.0</v>
      </c>
      <c r="BN129" s="196"/>
      <c r="BO129" s="153" t="str">
        <f>IF(BM129&lt;BN129,BM129,"")</f>
        <v/>
      </c>
      <c r="BP129" s="196" t="s">
        <v>362</v>
      </c>
      <c r="BQ129" s="197"/>
      <c r="BR129" s="198" t="s">
        <v>362</v>
      </c>
      <c r="BS129" s="196"/>
      <c r="BT129" s="175" t="str">
        <f>IF(BR129&lt;BS129,BR129,"")</f>
        <v/>
      </c>
      <c r="BU129" s="196" t="s">
        <v>362</v>
      </c>
      <c r="BV129" s="196"/>
      <c r="BW129" s="199">
        <v>62.0</v>
      </c>
      <c r="BX129" s="74" t="s">
        <v>361</v>
      </c>
      <c r="BY129" s="160">
        <f t="array" ref="BY129">IF(BW129&lt;BX129,BW129,"")</f>
        <v>62</v>
      </c>
      <c r="BZ129" s="160">
        <f t="shared" si="34"/>
        <v>62</v>
      </c>
      <c r="CA129" s="74"/>
      <c r="CB129" s="74" t="str">
        <f t="shared" si="35"/>
        <v>св</v>
      </c>
      <c r="CC129" s="200"/>
      <c r="CD129" s="243"/>
      <c r="CE129" s="200">
        <v>62.0</v>
      </c>
      <c r="CF129" s="25" t="s">
        <v>361</v>
      </c>
      <c r="CG129" s="153">
        <f t="array" ref="CG129">IF(CE129&lt;CF129,CE129,"")</f>
        <v>62</v>
      </c>
      <c r="CH129" s="74">
        <v>62.0</v>
      </c>
      <c r="CI129" s="49"/>
      <c r="CJ129" s="93">
        <v>62.0</v>
      </c>
      <c r="CK129" s="233" t="s">
        <v>361</v>
      </c>
      <c r="CL129" s="153">
        <f t="array" ref="CL129">IF(CJ129&lt;CK129,CJ129,"")</f>
        <v>62</v>
      </c>
      <c r="CM129" s="49">
        <v>62.0</v>
      </c>
      <c r="CN129" s="49"/>
      <c r="CO129" s="74">
        <v>62.0</v>
      </c>
      <c r="CP129" s="200" t="s">
        <v>361</v>
      </c>
      <c r="CQ129" s="153">
        <f t="array" ref="CQ129">IF(CO129&lt;CP129,CO129,"")</f>
        <v>62</v>
      </c>
      <c r="CR129" s="93">
        <v>62.0</v>
      </c>
      <c r="CS129" s="49"/>
      <c r="CT129" s="200">
        <v>62.0</v>
      </c>
      <c r="CU129" s="74" t="s">
        <v>361</v>
      </c>
      <c r="CV129" s="153">
        <f t="array" ref="CV129">IF(CT129&lt;CU129,CT129,"")</f>
        <v>62</v>
      </c>
      <c r="CW129" s="49">
        <v>62.0</v>
      </c>
      <c r="CX129" s="49"/>
      <c r="CY129" s="49">
        <v>62.0</v>
      </c>
      <c r="CZ129" s="49" t="s">
        <v>361</v>
      </c>
      <c r="DA129" s="153">
        <f t="array" ref="DA129">IF(CY129&lt;CZ129,CY129,"")</f>
        <v>62</v>
      </c>
      <c r="DB129" s="49">
        <v>62.0</v>
      </c>
      <c r="DC129" s="49"/>
      <c r="DD129" s="49">
        <v>62.0</v>
      </c>
      <c r="DE129" s="49"/>
      <c r="DF129" s="49"/>
      <c r="DG129" s="49"/>
      <c r="DH129" s="49"/>
    </row>
    <row r="130" ht="13.5" hidden="1" customHeight="1">
      <c r="A130" s="264"/>
      <c r="B130" s="165"/>
      <c r="C130" s="165"/>
      <c r="D130" s="165"/>
      <c r="E130" s="165"/>
      <c r="F130" s="166"/>
      <c r="G130" s="167"/>
      <c r="H130" s="168"/>
      <c r="I130" s="167"/>
      <c r="J130" s="168"/>
      <c r="K130" s="167"/>
      <c r="L130" s="168"/>
      <c r="M130" s="167"/>
      <c r="N130" s="168"/>
      <c r="O130" s="167"/>
      <c r="P130" s="168"/>
      <c r="Q130" s="167"/>
      <c r="R130" s="168"/>
      <c r="S130" s="167"/>
      <c r="T130" s="168"/>
      <c r="U130" s="169"/>
      <c r="V130" s="168"/>
      <c r="W130" s="169"/>
      <c r="X130" s="168"/>
      <c r="Y130" s="167"/>
      <c r="Z130" s="168"/>
      <c r="AA130" s="167"/>
      <c r="AB130" s="166"/>
      <c r="AC130" s="165"/>
      <c r="AD130" s="168"/>
      <c r="AE130" s="170"/>
      <c r="AF130" s="171"/>
      <c r="AG130" s="113"/>
      <c r="AH130" s="113"/>
      <c r="AI130" s="113"/>
      <c r="AJ130" s="113"/>
      <c r="AK130" s="113"/>
      <c r="AL130" s="113"/>
      <c r="AM130" s="113"/>
      <c r="AN130" s="113"/>
      <c r="AO130" s="113"/>
      <c r="AP130" s="113"/>
      <c r="AQ130" s="113"/>
      <c r="AR130" s="113"/>
      <c r="AS130" s="113"/>
      <c r="AT130" s="113"/>
      <c r="AU130" s="113"/>
      <c r="AV130" s="113"/>
      <c r="AW130" s="113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257"/>
      <c r="BN130" s="107"/>
      <c r="BO130" s="175" t="str">
        <f>IF(BO129="","",BN129)</f>
        <v/>
      </c>
      <c r="BP130" s="258" t="s">
        <v>362</v>
      </c>
      <c r="BQ130" s="259"/>
      <c r="BT130" s="175" t="str">
        <f>IF(BT129="","",BS129)</f>
        <v/>
      </c>
      <c r="BU130" s="175" t="s">
        <v>362</v>
      </c>
      <c r="BV130" s="196"/>
      <c r="BW130" s="257"/>
      <c r="BX130" s="107"/>
      <c r="BY130" s="160" t="str">
        <f>IF(BY129="","",BX129)</f>
        <v> </v>
      </c>
      <c r="BZ130" s="260" t="str">
        <f t="shared" si="34"/>
        <v> </v>
      </c>
      <c r="CA130" s="261"/>
      <c r="CB130" s="262" t="str">
        <f t="shared" si="35"/>
        <v>св</v>
      </c>
      <c r="CC130" s="261"/>
      <c r="CD130" s="263"/>
      <c r="CG130" s="180" t="str">
        <f>IF(CG129="","",CF129)</f>
        <v> </v>
      </c>
      <c r="CH130" s="200" t="s">
        <v>361</v>
      </c>
      <c r="CI130" s="49"/>
      <c r="CJ130" s="49" t="s">
        <v>362</v>
      </c>
      <c r="CK130" s="235"/>
      <c r="CL130" s="180" t="str">
        <f>IF(CL129="","",CK129)</f>
        <v> </v>
      </c>
      <c r="CM130" s="49" t="s">
        <v>361</v>
      </c>
      <c r="CN130" s="49"/>
      <c r="CQ130" s="180" t="str">
        <f>IF(CQ129="","",CP129)</f>
        <v> </v>
      </c>
      <c r="CR130" s="49" t="s">
        <v>361</v>
      </c>
      <c r="CS130" s="49"/>
      <c r="CV130" s="180" t="str">
        <f>IF(CV129="","",CU129)</f>
        <v> </v>
      </c>
      <c r="CW130" s="49" t="s">
        <v>361</v>
      </c>
      <c r="CX130" s="49"/>
      <c r="CY130" s="49" t="s">
        <v>362</v>
      </c>
      <c r="CZ130" s="49"/>
      <c r="DA130" s="180" t="str">
        <f>IF(DA129="","",CZ129)</f>
        <v> </v>
      </c>
      <c r="DB130" s="49" t="s">
        <v>361</v>
      </c>
      <c r="DC130" s="49"/>
      <c r="DD130" s="49" t="s">
        <v>362</v>
      </c>
      <c r="DE130" s="49"/>
      <c r="DF130" s="49"/>
      <c r="DG130" s="49"/>
      <c r="DH130" s="49"/>
    </row>
    <row r="131" ht="13.5" hidden="1" customHeight="1">
      <c r="A131" s="264"/>
      <c r="B131" s="126">
        <v>63.0</v>
      </c>
      <c r="C131" s="188" t="str">
        <f>(VLOOKUP($B131,'Пр.взв'!$D$6:$J$63,2,0))</f>
        <v>#N/A</v>
      </c>
      <c r="D131" s="189" t="str">
        <f>(VLOOKUP($B131,'Пр.взв'!$D$6:$J$63,5,0))</f>
        <v>#N/A</v>
      </c>
      <c r="E131" s="190" t="str">
        <f>(VLOOKUP($B131,'Пр.взв'!$D$6:$M$63,8,0))</f>
        <v>#N/A</v>
      </c>
      <c r="F131" s="130"/>
      <c r="G131" s="134"/>
      <c r="H131" s="132"/>
      <c r="I131" s="134"/>
      <c r="J131" s="133" t="str">
        <f>IF(H131="Х","Х",IF($AC131&lt;6," ","Х"))</f>
        <v> </v>
      </c>
      <c r="K131" s="134"/>
      <c r="L131" s="133" t="str">
        <f>IF(J131="Х","Х",IF(K131&lt;3," ",IF($AC131&lt;6," ","Х")))</f>
        <v> </v>
      </c>
      <c r="M131" s="134"/>
      <c r="N131" s="133" t="str">
        <f>IF(L131="Х","Х",IF(M131&lt;3," ",IF($AC131&lt;6," ","Х")))</f>
        <v> </v>
      </c>
      <c r="O131" s="134"/>
      <c r="P131" s="133" t="str">
        <f>IF(N131="Х","Х",IF(O131&lt;3," ",IF($AC131&lt;6," ","Х")))</f>
        <v> </v>
      </c>
      <c r="Q131" s="134"/>
      <c r="R131" s="133" t="str">
        <f>IF(P131="Х","Х",IF(Q131&lt;3," ",IF($AC131&lt;6," ","Х")))</f>
        <v> </v>
      </c>
      <c r="S131" s="134"/>
      <c r="T131" s="133" t="str">
        <f>IF(R131="Х","Х",IF(S131&lt;3," ",IF($AC131&lt;6," ","Х")))</f>
        <v> </v>
      </c>
      <c r="U131" s="135"/>
      <c r="V131" s="133" t="str">
        <f>IF(T131="Х","Х",IF(U131&lt;3," ",IF($AC131&lt;6," ","Х")))</f>
        <v> </v>
      </c>
      <c r="W131" s="135"/>
      <c r="X131" s="133" t="str">
        <f>IF(V131="А1",$AZ$7,IF(V131="Б2",$AZ$6,IF(V131="Б1",$BA$7,IF(V131="А2",$BA$6,IF(V131="Х","Х",IF(V131&lt;6," "," "))))))</f>
        <v> </v>
      </c>
      <c r="Y131" s="136"/>
      <c r="Z131" s="133" t="str">
        <f>IF(V131="Х","Х",IF(ISBLANK(Y131),"",IF(Y131&gt;2.5," ",IF(B131=BB$6,BB$7,BB$6))))</f>
        <v/>
      </c>
      <c r="AA131" s="136"/>
      <c r="AB131" s="240" t="str">
        <f>IF(H131="Х",F$5,IF(J131="Х",H$5,IF(L131="Х",J$5,IF(N131="Х",L$5,IF(P131="Х",N$5,IF(R131="Х",P$5,IF(T131="Х",R$5,IF(X131="Х",T$5,""))))))))</f>
        <v/>
      </c>
      <c r="AC131" s="138">
        <f>SUM(G131+I131+K131+M131+O131+Q131+S131+U131+Y131+AA131)</f>
        <v>0</v>
      </c>
      <c r="AD131" s="241" t="str">
        <f>AF131</f>
        <v>59-71</v>
      </c>
      <c r="AE131" s="140" t="str">
        <f>AD131</f>
        <v>59-71</v>
      </c>
      <c r="AF131" s="141" t="str">
        <f>COUNTIF(AG$6:AG$148,"&gt;"&amp;AG$6:AG$148)+1&amp;REPT("-"&amp;COUNTIF(AG$6:AG$148,"&gt;="&amp;AG$6:AG$148),COUNTIF(AG$6:AG$148,AG131)&gt;1)</f>
        <v>59-71</v>
      </c>
      <c r="AG131" s="142">
        <f>(AR131*100)+(AP131*10)-AC131</f>
        <v>80</v>
      </c>
      <c r="AH131" s="143" t="str">
        <f>IF(OR(F131="Х",F131="св")," ",IF(AND(G131&gt;=0,G131&lt;3),"1"," "))</f>
        <v>1</v>
      </c>
      <c r="AI131" s="90" t="str">
        <f>IF(OR(H131="Х",H131="св")," ",IF(AND(I131&gt;=0,I131&lt;3),"1"," "))</f>
        <v>1</v>
      </c>
      <c r="AJ131" s="90" t="str">
        <f>IF(OR(J131="Х",J131="св")," ",IF(AND(K131&gt;=0,K131&lt;3),"1"," "))</f>
        <v>1</v>
      </c>
      <c r="AK131" s="90" t="str">
        <f>IF(OR(L131="Х",L131="св")," ",IF(AND(M131&gt;=0,M131&lt;3),"1"," "))</f>
        <v>1</v>
      </c>
      <c r="AL131" s="90" t="str">
        <f>IF(OR(N131="Х",N131="св")," ",IF(AND(O131&gt;=0,O131&lt;3),"1"," "))</f>
        <v>1</v>
      </c>
      <c r="AM131" s="90" t="str">
        <f>IF(OR(P131="Х",P131="св")," ",IF(AND(Q131&gt;=0,Q131&lt;3),"1"," "))</f>
        <v>1</v>
      </c>
      <c r="AN131" s="90" t="str">
        <f>IF(OR(R131="Х",R131="св")," ",IF(AND(S131&gt;=0,S131&lt;3),"1"," "))</f>
        <v>1</v>
      </c>
      <c r="AO131" s="90" t="str">
        <f>IF(OR(T131="Х",T131="св")," ",IF(AND(U131&gt;=0,U131&lt;3),"1"," "))</f>
        <v>1</v>
      </c>
      <c r="AP131" s="90">
        <f>COUNTIF(AH131:AO132,1)</f>
        <v>8</v>
      </c>
      <c r="AQ131" s="90">
        <f>AG131-AC131</f>
        <v>80</v>
      </c>
      <c r="AR131" s="144">
        <f>IF(F131=0,0,IF(F131="Х",1,IF(H131="Х",2,IF(J131="Х",3,IF(L131="Х",4,IF(N131="Х",5,IF(P131="Х",6,IF(R131="Х",7,IF(T131="Х",8,IF(V131="Х",9,IF(Y131&gt;2.5,10,IF(AA131&gt;2.5,11,IF(AA131&gt;=0,12,IF(AA131=" ",0,))))))))))))))</f>
        <v>0</v>
      </c>
      <c r="AS131" s="90" t="str">
        <f>COUNTIF(AG$6:AG$134,"&gt;"&amp;AG$6:AG$134)+1&amp;REPT("-"&amp;COUNTIF(AG$6:AG$134,"&gt;="&amp;AG$6:AG$134),COUNTIF(AG$6:AG$134,AG131)&gt;1)</f>
        <v>59-64</v>
      </c>
      <c r="AT131" s="143" t="str">
        <f t="shared" ref="AT131:AW131" si="68">COUNTIF(AU$6:AU$134,"&gt;"&amp;AU$6:AU$134)+1&amp;REPT("-"&amp;COUNTIF(AU$6:AU$134,"&gt;="&amp;AU$6:AU$134),COUNTIF(AU$6:AU$134,AU131)&gt;1)</f>
        <v>1-64</v>
      </c>
      <c r="AU131" s="143" t="str">
        <f t="shared" si="68"/>
        <v>1-0</v>
      </c>
      <c r="AV131" s="143" t="str">
        <f t="shared" si="68"/>
        <v>1</v>
      </c>
      <c r="AW131" s="143" t="str">
        <f t="shared" si="68"/>
        <v>2</v>
      </c>
      <c r="AX131" s="145">
        <f>IF(X131="Х","Х",IF(Y131&lt;3,B131,"Х"))</f>
        <v>63</v>
      </c>
      <c r="AY131" s="49"/>
      <c r="AZ131" s="49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195">
        <v>63.0</v>
      </c>
      <c r="BN131" s="196"/>
      <c r="BO131" s="153" t="str">
        <f>IF(BM131&lt;BN131,BM131,"")</f>
        <v/>
      </c>
      <c r="BP131" s="196" t="s">
        <v>362</v>
      </c>
      <c r="BQ131" s="197"/>
      <c r="BR131" s="198" t="s">
        <v>362</v>
      </c>
      <c r="BS131" s="196"/>
      <c r="BT131" s="175" t="str">
        <f>IF(BR131&lt;BS131,BR131,"")</f>
        <v/>
      </c>
      <c r="BU131" s="196" t="s">
        <v>362</v>
      </c>
      <c r="BV131" s="196"/>
      <c r="BW131" s="199">
        <v>63.0</v>
      </c>
      <c r="BX131" s="74" t="s">
        <v>361</v>
      </c>
      <c r="BY131" s="160">
        <f t="array" ref="BY131">IF(BW131&lt;BX131,BW131,"")</f>
        <v>63</v>
      </c>
      <c r="BZ131" s="160">
        <f t="shared" si="34"/>
        <v>63</v>
      </c>
      <c r="CA131" s="74"/>
      <c r="CB131" s="74" t="str">
        <f t="shared" si="35"/>
        <v>св</v>
      </c>
      <c r="CC131" s="200"/>
      <c r="CD131" s="243"/>
      <c r="CE131" s="200">
        <v>63.0</v>
      </c>
      <c r="CF131" s="25" t="s">
        <v>361</v>
      </c>
      <c r="CG131" s="153">
        <f t="array" ref="CG131">IF(CE131&lt;CF131,CE131,"")</f>
        <v>63</v>
      </c>
      <c r="CH131" s="74">
        <v>63.0</v>
      </c>
      <c r="CI131" s="49"/>
      <c r="CJ131" s="93">
        <v>63.0</v>
      </c>
      <c r="CK131" s="233" t="s">
        <v>361</v>
      </c>
      <c r="CL131" s="153">
        <f t="array" ref="CL131">IF(CJ131&lt;CK131,CJ131,"")</f>
        <v>63</v>
      </c>
      <c r="CM131" s="49">
        <v>63.0</v>
      </c>
      <c r="CN131" s="49"/>
      <c r="CO131" s="74">
        <v>63.0</v>
      </c>
      <c r="CP131" s="200" t="s">
        <v>361</v>
      </c>
      <c r="CQ131" s="153">
        <f t="array" ref="CQ131">IF(CO131&lt;CP131,CO131,"")</f>
        <v>63</v>
      </c>
      <c r="CR131" s="93">
        <v>63.0</v>
      </c>
      <c r="CS131" s="49"/>
      <c r="CT131" s="200">
        <v>63.0</v>
      </c>
      <c r="CU131" s="74" t="s">
        <v>361</v>
      </c>
      <c r="CV131" s="153">
        <f t="array" ref="CV131">IF(CT131&lt;CU131,CT131,"")</f>
        <v>63</v>
      </c>
      <c r="CW131" s="49">
        <v>63.0</v>
      </c>
      <c r="CX131" s="49"/>
      <c r="CY131" s="49">
        <v>63.0</v>
      </c>
      <c r="CZ131" s="49" t="s">
        <v>361</v>
      </c>
      <c r="DA131" s="153">
        <f t="array" ref="DA131">IF(CY131&lt;CZ131,CY131,"")</f>
        <v>63</v>
      </c>
      <c r="DB131" s="49">
        <v>63.0</v>
      </c>
      <c r="DC131" s="49"/>
      <c r="DD131" s="49">
        <v>63.0</v>
      </c>
      <c r="DE131" s="49"/>
      <c r="DF131" s="49"/>
      <c r="DG131" s="49"/>
      <c r="DH131" s="49"/>
    </row>
    <row r="132" ht="13.5" hidden="1" customHeight="1">
      <c r="A132" s="264"/>
      <c r="B132" s="165"/>
      <c r="C132" s="165"/>
      <c r="D132" s="165"/>
      <c r="E132" s="165"/>
      <c r="F132" s="166"/>
      <c r="G132" s="167"/>
      <c r="H132" s="168"/>
      <c r="I132" s="167"/>
      <c r="J132" s="168"/>
      <c r="K132" s="167"/>
      <c r="L132" s="168"/>
      <c r="M132" s="167"/>
      <c r="N132" s="168"/>
      <c r="O132" s="167"/>
      <c r="P132" s="168"/>
      <c r="Q132" s="167"/>
      <c r="R132" s="168"/>
      <c r="S132" s="167"/>
      <c r="T132" s="168"/>
      <c r="U132" s="169"/>
      <c r="V132" s="168"/>
      <c r="W132" s="169"/>
      <c r="X132" s="168"/>
      <c r="Y132" s="167"/>
      <c r="Z132" s="168"/>
      <c r="AA132" s="167"/>
      <c r="AB132" s="166"/>
      <c r="AC132" s="165"/>
      <c r="AD132" s="168"/>
      <c r="AE132" s="170"/>
      <c r="AF132" s="171"/>
      <c r="AG132" s="113"/>
      <c r="AH132" s="113"/>
      <c r="AI132" s="113"/>
      <c r="AJ132" s="113"/>
      <c r="AK132" s="113"/>
      <c r="AL132" s="113"/>
      <c r="AM132" s="113"/>
      <c r="AN132" s="113"/>
      <c r="AO132" s="113"/>
      <c r="AP132" s="113"/>
      <c r="AQ132" s="113"/>
      <c r="AR132" s="113"/>
      <c r="AS132" s="113"/>
      <c r="AT132" s="113"/>
      <c r="AU132" s="113"/>
      <c r="AV132" s="113"/>
      <c r="AW132" s="113"/>
      <c r="AY132" s="49"/>
      <c r="AZ132" s="49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257"/>
      <c r="BN132" s="107"/>
      <c r="BO132" s="175" t="str">
        <f>IF(BO131="","",BN131)</f>
        <v/>
      </c>
      <c r="BP132" s="258" t="s">
        <v>362</v>
      </c>
      <c r="BQ132" s="259"/>
      <c r="BT132" s="175" t="str">
        <f>IF(BT131="","",BS131)</f>
        <v/>
      </c>
      <c r="BU132" s="175" t="s">
        <v>362</v>
      </c>
      <c r="BV132" s="196"/>
      <c r="BW132" s="257"/>
      <c r="BX132" s="107"/>
      <c r="BY132" s="160" t="str">
        <f>IF(BY131="","",BX131)</f>
        <v> </v>
      </c>
      <c r="BZ132" s="260" t="str">
        <f t="shared" si="34"/>
        <v> </v>
      </c>
      <c r="CA132" s="261"/>
      <c r="CB132" s="262" t="str">
        <f t="shared" si="35"/>
        <v>св</v>
      </c>
      <c r="CC132" s="261"/>
      <c r="CD132" s="263"/>
      <c r="CG132" s="180" t="str">
        <f>IF(CG131="","",CF131)</f>
        <v> </v>
      </c>
      <c r="CH132" s="200" t="s">
        <v>361</v>
      </c>
      <c r="CI132" s="49"/>
      <c r="CJ132" s="49" t="s">
        <v>362</v>
      </c>
      <c r="CK132" s="235"/>
      <c r="CL132" s="180" t="str">
        <f>IF(CL131="","",CK131)</f>
        <v> </v>
      </c>
      <c r="CM132" s="49" t="s">
        <v>361</v>
      </c>
      <c r="CN132" s="49"/>
      <c r="CQ132" s="180" t="str">
        <f>IF(CQ131="","",CP131)</f>
        <v> </v>
      </c>
      <c r="CR132" s="49" t="s">
        <v>361</v>
      </c>
      <c r="CS132" s="49"/>
      <c r="CV132" s="180" t="str">
        <f>IF(CV131="","",CU131)</f>
        <v> </v>
      </c>
      <c r="CW132" s="49" t="s">
        <v>361</v>
      </c>
      <c r="CX132" s="49"/>
      <c r="CY132" s="49" t="s">
        <v>362</v>
      </c>
      <c r="CZ132" s="49"/>
      <c r="DA132" s="180" t="str">
        <f>IF(DA131="","",CZ131)</f>
        <v> </v>
      </c>
      <c r="DB132" s="49" t="s">
        <v>361</v>
      </c>
      <c r="DC132" s="49"/>
      <c r="DD132" s="49" t="s">
        <v>362</v>
      </c>
      <c r="DE132" s="49"/>
      <c r="DF132" s="49"/>
      <c r="DG132" s="49"/>
      <c r="DH132" s="49"/>
    </row>
    <row r="133" ht="13.5" hidden="1" customHeight="1">
      <c r="A133" s="264"/>
      <c r="B133" s="126">
        <v>64.0</v>
      </c>
      <c r="C133" s="188" t="str">
        <f>(VLOOKUP($B133,'Пр.взв'!$D$6:$J$63,2,0))</f>
        <v>#N/A</v>
      </c>
      <c r="D133" s="189" t="str">
        <f>(VLOOKUP($B133,'Пр.взв'!$D$6:$J$63,5,0))</f>
        <v>#N/A</v>
      </c>
      <c r="E133" s="190" t="str">
        <f>(VLOOKUP($B133,'Пр.взв'!$D$6:$M$63,8,0))</f>
        <v>#N/A</v>
      </c>
      <c r="F133" s="130"/>
      <c r="G133" s="134"/>
      <c r="H133" s="132"/>
      <c r="I133" s="134"/>
      <c r="J133" s="133" t="str">
        <f>IF(H133="Х","Х",IF($AC133&lt;6," ","Х"))</f>
        <v> </v>
      </c>
      <c r="K133" s="134"/>
      <c r="L133" s="133" t="str">
        <f>IF(J133="Х","Х",IF(K133&lt;3," ",IF($AC133&lt;6," ","Х")))</f>
        <v> </v>
      </c>
      <c r="M133" s="134"/>
      <c r="N133" s="133" t="str">
        <f>IF(L133="Х","Х",IF(M133&lt;3," ",IF($AC133&lt;6," ","Х")))</f>
        <v> </v>
      </c>
      <c r="O133" s="134"/>
      <c r="P133" s="133" t="str">
        <f>IF(N133="Х","Х",IF(O133&lt;3," ",IF($AC133&lt;6," ","Х")))</f>
        <v> </v>
      </c>
      <c r="Q133" s="134"/>
      <c r="R133" s="133" t="str">
        <f>IF(P133="Х","Х",IF(Q133&lt;3," ",IF($AC133&lt;6," ","Х")))</f>
        <v> </v>
      </c>
      <c r="S133" s="134"/>
      <c r="T133" s="133" t="str">
        <f>IF(R133="Х","Х",IF(S133&lt;3," ",IF($AC133&lt;6," ","Х")))</f>
        <v> </v>
      </c>
      <c r="U133" s="135"/>
      <c r="V133" s="133" t="str">
        <f>IF(T133="Х","Х",IF(U133&lt;3," ",IF($AC133&lt;6," ","Х")))</f>
        <v> </v>
      </c>
      <c r="W133" s="135"/>
      <c r="X133" s="133" t="str">
        <f>IF(V133="А1",$AZ$7,IF(V133="Б2",$AZ$6,IF(V133="Б1",$BA$7,IF(V133="А2",$BA$6,IF(V133="Х","Х",IF(V133&lt;6," "," "))))))</f>
        <v> </v>
      </c>
      <c r="Y133" s="136"/>
      <c r="Z133" s="133" t="str">
        <f>IF(V133="Х","Х",IF(ISBLANK(Y133),"",IF(Y133&gt;2.5," ",IF(B133=BB$6,BB$7,BB$6))))</f>
        <v/>
      </c>
      <c r="AA133" s="136"/>
      <c r="AB133" s="240" t="str">
        <f>IF(H133="Х",F$5,IF(J133="Х",H$5,IF(L133="Х",J$5,IF(N133="Х",L$5,IF(P133="Х",N$5,IF(R133="Х",P$5,IF(T133="Х",R$5,IF(X133="Х",T$5,""))))))))</f>
        <v/>
      </c>
      <c r="AC133" s="138">
        <f>SUM(G133+I133+K133+M133+O133+Q133+S133+U133+Y133+AA133)</f>
        <v>0</v>
      </c>
      <c r="AD133" s="241" t="str">
        <f>AF133</f>
        <v>59-71</v>
      </c>
      <c r="AE133" s="140" t="str">
        <f>AD133</f>
        <v>59-71</v>
      </c>
      <c r="AF133" s="141" t="str">
        <f>COUNTIF(AG$6:AG$148,"&gt;"&amp;AG$6:AG$148)+1&amp;REPT("-"&amp;COUNTIF(AG$6:AG$148,"&gt;="&amp;AG$6:AG$148),COUNTIF(AG$6:AG$148,AG133)&gt;1)</f>
        <v>59-71</v>
      </c>
      <c r="AG133" s="142">
        <f>(AR133*100)+(AP133*10)-AC133</f>
        <v>80</v>
      </c>
      <c r="AH133" s="143" t="str">
        <f>IF(OR(F133="Х",F133="св")," ",IF(AND(G133&gt;=0,G133&lt;3),"1"," "))</f>
        <v>1</v>
      </c>
      <c r="AI133" s="90" t="str">
        <f>IF(OR(H133="Х",H133="св")," ",IF(AND(I133&gt;=0,I133&lt;3),"1"," "))</f>
        <v>1</v>
      </c>
      <c r="AJ133" s="90" t="str">
        <f>IF(OR(J133="Х",J133="св")," ",IF(AND(K133&gt;=0,K133&lt;3),"1"," "))</f>
        <v>1</v>
      </c>
      <c r="AK133" s="90" t="str">
        <f>IF(OR(L133="Х",L133="св")," ",IF(AND(M133&gt;=0,M133&lt;3),"1"," "))</f>
        <v>1</v>
      </c>
      <c r="AL133" s="90" t="str">
        <f>IF(OR(N133="Х",N133="св")," ",IF(AND(O133&gt;=0,O133&lt;3),"1"," "))</f>
        <v>1</v>
      </c>
      <c r="AM133" s="90" t="str">
        <f>IF(OR(P133="Х",P133="св")," ",IF(AND(Q133&gt;=0,Q133&lt;3),"1"," "))</f>
        <v>1</v>
      </c>
      <c r="AN133" s="90" t="str">
        <f>IF(OR(R133="Х",R133="св")," ",IF(AND(S133&gt;=0,S133&lt;3),"1"," "))</f>
        <v>1</v>
      </c>
      <c r="AO133" s="90" t="str">
        <f>IF(OR(T133="Х",T133="св")," ",IF(AND(U133&gt;=0,U133&lt;3),"1"," "))</f>
        <v>1</v>
      </c>
      <c r="AP133" s="90">
        <f>COUNTIF(AH133:AO134,1)</f>
        <v>8</v>
      </c>
      <c r="AQ133" s="90">
        <f>AG133-AC133</f>
        <v>80</v>
      </c>
      <c r="AR133" s="144">
        <f>IF(F133=0,0,IF(F133="Х",1,IF(H133="Х",2,IF(J133="Х",3,IF(L133="Х",4,IF(N133="Х",5,IF(P133="Х",6,IF(R133="Х",7,IF(T133="Х",8,IF(V133="Х",9,IF(Y133&gt;2.5,10,IF(AA133&gt;2.5,11,IF(AA133&gt;=0,12,IF(AA133=" ",0,))))))))))))))</f>
        <v>0</v>
      </c>
      <c r="AS133" s="90" t="str">
        <f>COUNTIF(AG$6:AG$134,"&gt;"&amp;AG$6:AG$134)+1&amp;REPT("-"&amp;COUNTIF(AG$6:AG$134,"&gt;="&amp;AG$6:AG$134),COUNTIF(AG$6:AG$134,AG133)&gt;1)</f>
        <v>59-64</v>
      </c>
      <c r="AT133" s="143" t="str">
        <f t="shared" ref="AT133:AW133" si="69">COUNTIF(AU$6:AU$134,"&gt;"&amp;AU$6:AU$134)+1&amp;REPT("-"&amp;COUNTIF(AU$6:AU$134,"&gt;="&amp;AU$6:AU$134),COUNTIF(AU$6:AU$134,AU133)&gt;1)</f>
        <v>1-64</v>
      </c>
      <c r="AU133" s="143" t="str">
        <f t="shared" si="69"/>
        <v>1-0</v>
      </c>
      <c r="AV133" s="143" t="str">
        <f t="shared" si="69"/>
        <v>1</v>
      </c>
      <c r="AW133" s="143" t="str">
        <f t="shared" si="69"/>
        <v>1</v>
      </c>
      <c r="AX133" s="145">
        <f>IF(X133="Х","Х",IF(Y133&lt;3,B133,"Х"))</f>
        <v>64</v>
      </c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195">
        <v>64.0</v>
      </c>
      <c r="BN133" s="196"/>
      <c r="BO133" s="153" t="str">
        <f>IF(BM133&lt;BN133,BM133,"")</f>
        <v/>
      </c>
      <c r="BP133" s="196" t="s">
        <v>362</v>
      </c>
      <c r="BQ133" s="197"/>
      <c r="BR133" s="198" t="s">
        <v>362</v>
      </c>
      <c r="BS133" s="196"/>
      <c r="BT133" s="175" t="str">
        <f>IF(BR133&lt;BS133,BR133,"")</f>
        <v/>
      </c>
      <c r="BU133" s="196" t="s">
        <v>362</v>
      </c>
      <c r="BV133" s="196"/>
      <c r="BW133" s="199">
        <v>64.0</v>
      </c>
      <c r="BX133" s="74" t="s">
        <v>361</v>
      </c>
      <c r="BY133" s="160">
        <f t="array" ref="BY133">IF(BW133&lt;BX133,BW133,"")</f>
        <v>64</v>
      </c>
      <c r="BZ133" s="160">
        <f t="shared" si="34"/>
        <v>64</v>
      </c>
      <c r="CA133" s="74"/>
      <c r="CB133" s="74" t="str">
        <f t="shared" si="35"/>
        <v>св</v>
      </c>
      <c r="CC133" s="200"/>
      <c r="CD133" s="243"/>
      <c r="CE133" s="200">
        <v>64.0</v>
      </c>
      <c r="CF133" s="25" t="s">
        <v>361</v>
      </c>
      <c r="CG133" s="153">
        <f t="array" ref="CG133">IF(CE133&lt;CF133,CE133,"")</f>
        <v>64</v>
      </c>
      <c r="CH133" s="74">
        <v>64.0</v>
      </c>
      <c r="CI133" s="49"/>
      <c r="CJ133" s="93">
        <v>64.0</v>
      </c>
      <c r="CK133" s="233" t="s">
        <v>361</v>
      </c>
      <c r="CL133" s="153">
        <f t="array" ref="CL133">IF(CJ133&lt;CK133,CJ133,"")</f>
        <v>64</v>
      </c>
      <c r="CM133" s="49">
        <v>64.0</v>
      </c>
      <c r="CN133" s="49"/>
      <c r="CO133" s="74">
        <v>64.0</v>
      </c>
      <c r="CP133" s="200" t="s">
        <v>361</v>
      </c>
      <c r="CQ133" s="153">
        <f t="array" ref="CQ133">IF(CO133&lt;CP133,CO133,"")</f>
        <v>64</v>
      </c>
      <c r="CR133" s="93">
        <v>64.0</v>
      </c>
      <c r="CS133" s="49"/>
      <c r="CT133" s="200">
        <v>64.0</v>
      </c>
      <c r="CU133" s="74" t="s">
        <v>361</v>
      </c>
      <c r="CV133" s="153">
        <f t="array" ref="CV133">IF(CT133&lt;CU133,CT133,"")</f>
        <v>64</v>
      </c>
      <c r="CW133" s="49">
        <v>64.0</v>
      </c>
      <c r="CX133" s="49"/>
      <c r="CY133" s="49">
        <v>64.0</v>
      </c>
      <c r="CZ133" s="49" t="s">
        <v>361</v>
      </c>
      <c r="DA133" s="153">
        <f t="array" ref="DA133">IF(CY133&lt;CZ133,CY133,"")</f>
        <v>64</v>
      </c>
      <c r="DB133" s="49">
        <v>64.0</v>
      </c>
      <c r="DC133" s="49"/>
      <c r="DD133" s="49">
        <v>64.0</v>
      </c>
      <c r="DE133" s="49"/>
      <c r="DF133" s="49"/>
      <c r="DG133" s="49"/>
      <c r="DH133" s="49"/>
    </row>
    <row r="134" ht="13.5" hidden="1" customHeight="1">
      <c r="A134" s="264"/>
      <c r="B134" s="165"/>
      <c r="C134" s="165"/>
      <c r="D134" s="165"/>
      <c r="E134" s="165"/>
      <c r="F134" s="166"/>
      <c r="G134" s="167"/>
      <c r="H134" s="168"/>
      <c r="I134" s="167"/>
      <c r="J134" s="168"/>
      <c r="K134" s="167"/>
      <c r="L134" s="168"/>
      <c r="M134" s="167"/>
      <c r="N134" s="168"/>
      <c r="O134" s="167"/>
      <c r="P134" s="168"/>
      <c r="Q134" s="167"/>
      <c r="R134" s="168"/>
      <c r="S134" s="167"/>
      <c r="T134" s="168"/>
      <c r="U134" s="169"/>
      <c r="V134" s="168"/>
      <c r="W134" s="169"/>
      <c r="X134" s="168"/>
      <c r="Y134" s="167"/>
      <c r="Z134" s="168"/>
      <c r="AA134" s="167"/>
      <c r="AB134" s="166"/>
      <c r="AC134" s="165"/>
      <c r="AD134" s="168"/>
      <c r="AE134" s="170"/>
      <c r="AF134" s="171"/>
      <c r="AG134" s="113"/>
      <c r="AH134" s="113"/>
      <c r="AI134" s="113"/>
      <c r="AJ134" s="113"/>
      <c r="AK134" s="113"/>
      <c r="AL134" s="113"/>
      <c r="AM134" s="113"/>
      <c r="AN134" s="113"/>
      <c r="AO134" s="113"/>
      <c r="AP134" s="113"/>
      <c r="AQ134" s="113"/>
      <c r="AR134" s="113"/>
      <c r="AS134" s="113"/>
      <c r="AT134" s="113"/>
      <c r="AU134" s="113"/>
      <c r="AV134" s="113"/>
      <c r="AW134" s="113"/>
      <c r="AY134" s="49"/>
      <c r="AZ134" s="49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257"/>
      <c r="BN134" s="107"/>
      <c r="BO134" s="175" t="str">
        <f>IF(BO133="","",BN133)</f>
        <v/>
      </c>
      <c r="BP134" s="258" t="s">
        <v>362</v>
      </c>
      <c r="BQ134" s="259"/>
      <c r="BT134" s="175" t="str">
        <f>IF(BT133="","",BS133)</f>
        <v/>
      </c>
      <c r="BU134" s="175" t="s">
        <v>362</v>
      </c>
      <c r="BV134" s="196"/>
      <c r="BW134" s="257"/>
      <c r="BX134" s="107"/>
      <c r="BY134" s="160" t="str">
        <f>IF(BY133="","",BX133)</f>
        <v> </v>
      </c>
      <c r="BZ134" s="260" t="str">
        <f t="shared" si="34"/>
        <v> </v>
      </c>
      <c r="CA134" s="261"/>
      <c r="CB134" s="262" t="str">
        <f t="shared" si="35"/>
        <v>св</v>
      </c>
      <c r="CC134" s="261"/>
      <c r="CD134" s="263"/>
      <c r="CG134" s="180" t="str">
        <f>IF(CG133="","",CF133)</f>
        <v> </v>
      </c>
      <c r="CH134" s="200" t="s">
        <v>361</v>
      </c>
      <c r="CI134" s="49"/>
      <c r="CJ134" s="49" t="s">
        <v>362</v>
      </c>
      <c r="CK134" s="235"/>
      <c r="CL134" s="180" t="str">
        <f>IF(CL133="","",CK133)</f>
        <v> </v>
      </c>
      <c r="CM134" s="49" t="s">
        <v>361</v>
      </c>
      <c r="CN134" s="49"/>
      <c r="CQ134" s="180" t="str">
        <f>IF(CQ133="","",CP133)</f>
        <v> </v>
      </c>
      <c r="CR134" s="49" t="s">
        <v>361</v>
      </c>
      <c r="CS134" s="49"/>
      <c r="CV134" s="180" t="str">
        <f>IF(CV133="","",CU133)</f>
        <v> </v>
      </c>
      <c r="CW134" s="49" t="s">
        <v>361</v>
      </c>
      <c r="CX134" s="49"/>
      <c r="CY134" s="49" t="s">
        <v>362</v>
      </c>
      <c r="CZ134" s="49"/>
      <c r="DA134" s="180" t="str">
        <f>IF(DA133="","",CZ133)</f>
        <v> </v>
      </c>
      <c r="DB134" s="49" t="s">
        <v>361</v>
      </c>
      <c r="DC134" s="49"/>
      <c r="DD134" s="49" t="s">
        <v>362</v>
      </c>
      <c r="DE134" s="49"/>
      <c r="DF134" s="49"/>
      <c r="DG134" s="49"/>
      <c r="DH134" s="49"/>
    </row>
    <row r="135" ht="13.5" hidden="1" customHeight="1">
      <c r="A135" s="264"/>
      <c r="B135" s="126">
        <v>65.0</v>
      </c>
      <c r="C135" s="188" t="str">
        <f>(VLOOKUP($B135,'Пр.взв'!$D$6:$J$63,2,0))</f>
        <v>#N/A</v>
      </c>
      <c r="D135" s="189" t="str">
        <f>(VLOOKUP($B135,'Пр.взв'!$D$6:$J$63,5,0))</f>
        <v>#N/A</v>
      </c>
      <c r="E135" s="190" t="str">
        <f>(VLOOKUP($B135,'Пр.взв'!$D$6:$M$63,8,0))</f>
        <v>#N/A</v>
      </c>
      <c r="F135" s="130"/>
      <c r="G135" s="134"/>
      <c r="H135" s="132"/>
      <c r="I135" s="136"/>
      <c r="J135" s="133" t="str">
        <f>IF(H135="Х","Х",IF($AC135&lt;6," ","Х"))</f>
        <v> </v>
      </c>
      <c r="K135" s="134"/>
      <c r="L135" s="133" t="str">
        <f>IF(J135="Х","Х",IF(K135&lt;3," ",IF($AC135&lt;6," ","Х")))</f>
        <v> </v>
      </c>
      <c r="M135" s="134"/>
      <c r="N135" s="133" t="str">
        <f>IF(L135="Х","Х",IF(M135&lt;3," ",IF($AC135&lt;6," ","Х")))</f>
        <v> </v>
      </c>
      <c r="O135" s="134"/>
      <c r="P135" s="133" t="str">
        <f>IF(N135="Х","Х",IF(O135&lt;3," ",IF($AC135&lt;6," ","Х")))</f>
        <v> </v>
      </c>
      <c r="Q135" s="134"/>
      <c r="R135" s="133" t="str">
        <f>IF(P135="Х","Х",IF(Q135&lt;3," ",IF($AC135&lt;6," ","Х")))</f>
        <v> </v>
      </c>
      <c r="S135" s="134"/>
      <c r="T135" s="133" t="str">
        <f>IF(R135="Х","Х",IF(S135&lt;3," ",IF($AC135&lt;6," ","Х")))</f>
        <v> </v>
      </c>
      <c r="U135" s="135"/>
      <c r="V135" s="133" t="str">
        <f>IF(T135="Х","Х",IF(U135&lt;3," ",IF($AC135&lt;6," ","Х")))</f>
        <v> </v>
      </c>
      <c r="W135" s="135"/>
      <c r="X135" s="133" t="str">
        <f>IF(V135="А1",$AZ$7,IF(V135="Б2",$AZ$6,IF(V135="Б1",$BA$7,IF(V135="А2",$BA$6,IF(V135="Х","Х",IF(V135&lt;6," "," "))))))</f>
        <v> </v>
      </c>
      <c r="Y135" s="136"/>
      <c r="Z135" s="133" t="str">
        <f>IF(V135="Х","Х",IF(ISBLANK(Y135),"",IF(Y135&gt;2.5," ",IF(B135=BB$6,BB$7,BB$6))))</f>
        <v/>
      </c>
      <c r="AA135" s="136"/>
      <c r="AB135" s="240" t="str">
        <f>IF(H135="Х",F$5,IF(J135="Х",H$5,IF(L135="Х",J$5,IF(N135="Х",L$5,IF(P135="Х",N$5,IF(R135="Х",P$5,IF(T135="Х",R$5,IF(X135="Х",T$5,""))))))))</f>
        <v/>
      </c>
      <c r="AC135" s="138">
        <f>SUM(G135+I135+K135+M135+O135+Q135+S135+U135+Y135+AA135)</f>
        <v>0</v>
      </c>
      <c r="AD135" s="241" t="str">
        <f>AF135</f>
        <v>59-71</v>
      </c>
      <c r="AE135" s="140" t="str">
        <f>AD135</f>
        <v>59-71</v>
      </c>
      <c r="AF135" s="141" t="str">
        <f>COUNTIF(AG$6:AG$148,"&gt;"&amp;AG$6:AG$148)+1&amp;REPT("-"&amp;COUNTIF(AG$6:AG$148,"&gt;="&amp;AG$6:AG$148),COUNTIF(AG$6:AG$148,AG135)&gt;1)</f>
        <v>59-71</v>
      </c>
      <c r="AG135" s="142">
        <f>(AR135*100)+(AP135*10)-AC135</f>
        <v>80</v>
      </c>
      <c r="AH135" s="143" t="str">
        <f>IF(OR(F135="Х",F135="св")," ",IF(AND(G135&gt;=0,G135&lt;3),"1"," "))</f>
        <v>1</v>
      </c>
      <c r="AI135" s="90" t="str">
        <f>IF(OR(H135="Х",H135="св")," ",IF(AND(I135&gt;=0,I135&lt;3),"1"," "))</f>
        <v>1</v>
      </c>
      <c r="AJ135" s="90" t="str">
        <f>IF(OR(J135="Х",J135="св")," ",IF(AND(K135&gt;=0,K135&lt;3),"1"," "))</f>
        <v>1</v>
      </c>
      <c r="AK135" s="90" t="str">
        <f>IF(OR(L135="Х",L135="св")," ",IF(AND(M135&gt;=0,M135&lt;3),"1"," "))</f>
        <v>1</v>
      </c>
      <c r="AL135" s="90" t="str">
        <f>IF(OR(N135="Х",N135="св")," ",IF(AND(O135&gt;=0,O135&lt;3),"1"," "))</f>
        <v>1</v>
      </c>
      <c r="AM135" s="90" t="str">
        <f>IF(OR(P135="Х",P135="св")," ",IF(AND(Q135&gt;=0,Q135&lt;3),"1"," "))</f>
        <v>1</v>
      </c>
      <c r="AN135" s="90" t="str">
        <f>IF(OR(R135="Х",R135="св")," ",IF(AND(S135&gt;=0,S135&lt;3),"1"," "))</f>
        <v>1</v>
      </c>
      <c r="AO135" s="90" t="str">
        <f>IF(OR(T135="Х",T135="св")," ",IF(AND(U135&gt;=0,U135&lt;3),"1"," "))</f>
        <v>1</v>
      </c>
      <c r="AP135" s="90">
        <f>COUNTIF(AH135:AO136,1)</f>
        <v>8</v>
      </c>
      <c r="AQ135" s="90">
        <f>AG135-AC135</f>
        <v>80</v>
      </c>
      <c r="AR135" s="144">
        <f>IF(F135=0,0,IF(F135="Х",1,IF(H135="Х",2,IF(J135="Х",3,IF(L135="Х",4,IF(N135="Х",5,IF(P135="Х",6,IF(R135="Х",7,IF(T135="Х",8,IF(V135="Х",9,IF(Y135&gt;2.5,10,IF(AA135&gt;2.5,11,IF(AA135&gt;=0,12,IF(AA135=" ",0,))))))))))))))</f>
        <v>0</v>
      </c>
      <c r="AS135" s="90" t="str">
        <f>COUNTIF(AG$6:AG$134,"&gt;"&amp;AG$6:AG$134)+1&amp;REPT("-"&amp;COUNTIF(AG$6:AG$134,"&gt;="&amp;AG$6:AG$134),COUNTIF(AG$6:AG$134,AG135)&gt;1)</f>
        <v>1-0</v>
      </c>
      <c r="AT135" s="143" t="str">
        <f t="shared" ref="AT135:AW135" si="70">COUNTIF(AU$6:AU$134,"&gt;"&amp;AU$6:AU$134)+1&amp;REPT("-"&amp;COUNTIF(AU$6:AU$134,"&gt;="&amp;AU$6:AU$134),COUNTIF(AU$6:AU$134,AU135)&gt;1)</f>
        <v>1-0</v>
      </c>
      <c r="AU135" s="143" t="str">
        <f t="shared" si="70"/>
        <v>1-0</v>
      </c>
      <c r="AV135" s="143" t="str">
        <f t="shared" si="70"/>
        <v>1</v>
      </c>
      <c r="AW135" s="143" t="str">
        <f t="shared" si="70"/>
        <v>1</v>
      </c>
      <c r="AX135" s="145">
        <f>IF(X135="Х","Х",IF(Y135&lt;3,B135,"Х"))</f>
        <v>65</v>
      </c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50">
        <v>65.0</v>
      </c>
      <c r="BN135" s="49"/>
      <c r="BO135" s="153" t="str">
        <f>IF(BM135&lt;BN135,BM135,"")</f>
        <v/>
      </c>
      <c r="BP135" s="49" t="s">
        <v>362</v>
      </c>
      <c r="BQ135" s="49"/>
      <c r="BR135" s="50" t="s">
        <v>362</v>
      </c>
      <c r="BS135" s="49"/>
      <c r="BT135" s="175" t="str">
        <f>IF(BR135&lt;BS135,BR135,"")</f>
        <v/>
      </c>
      <c r="BU135" s="49" t="s">
        <v>362</v>
      </c>
      <c r="BV135" s="49"/>
      <c r="BW135" s="49">
        <v>65.0</v>
      </c>
      <c r="BX135" s="49" t="s">
        <v>361</v>
      </c>
      <c r="BY135" s="160">
        <f t="array" ref="BY135">IF(BW135&lt;BX135,BW135,"")</f>
        <v>65</v>
      </c>
      <c r="BZ135" s="160">
        <f t="shared" si="34"/>
        <v>65</v>
      </c>
      <c r="CA135" s="49"/>
      <c r="CB135" s="74" t="str">
        <f t="shared" si="35"/>
        <v>св</v>
      </c>
      <c r="CC135" s="49"/>
      <c r="CD135" s="49"/>
      <c r="CE135" s="49">
        <v>65.0</v>
      </c>
      <c r="CF135" s="49" t="s">
        <v>361</v>
      </c>
      <c r="CG135" s="153">
        <f t="array" ref="CG135">IF(CE135&lt;CF135,CE135,"")</f>
        <v>65</v>
      </c>
      <c r="CH135" s="49">
        <v>65.0</v>
      </c>
      <c r="CI135" s="49"/>
      <c r="CJ135" s="49">
        <v>65.0</v>
      </c>
      <c r="CK135" s="49" t="s">
        <v>361</v>
      </c>
      <c r="CL135" s="153">
        <f t="array" ref="CL135">IF(CJ135&lt;CK135,CJ135,"")</f>
        <v>65</v>
      </c>
      <c r="CM135" s="49">
        <v>65.0</v>
      </c>
      <c r="CN135" s="49"/>
      <c r="CO135" s="49">
        <v>65.0</v>
      </c>
      <c r="CP135" s="49" t="s">
        <v>361</v>
      </c>
      <c r="CQ135" s="153">
        <f t="array" ref="CQ135">IF(CO135&lt;CP135,CO135,"")</f>
        <v>65</v>
      </c>
      <c r="CR135" s="49">
        <v>65.0</v>
      </c>
      <c r="CS135" s="49"/>
      <c r="CT135" s="49">
        <v>65.0</v>
      </c>
      <c r="CU135" s="49" t="s">
        <v>361</v>
      </c>
      <c r="CV135" s="153">
        <f t="array" ref="CV135">IF(CT135&lt;CU135,CT135,"")</f>
        <v>65</v>
      </c>
      <c r="CW135" s="49">
        <v>65.0</v>
      </c>
      <c r="CX135" s="49"/>
      <c r="CY135" s="49">
        <v>65.0</v>
      </c>
      <c r="CZ135" s="49" t="s">
        <v>361</v>
      </c>
      <c r="DA135" s="153">
        <f t="array" ref="DA135">IF(CY135&lt;CZ135,CY135,"")</f>
        <v>65</v>
      </c>
      <c r="DB135" s="49">
        <v>65.0</v>
      </c>
      <c r="DC135" s="49"/>
      <c r="DD135" s="49">
        <v>65.0</v>
      </c>
      <c r="DE135" s="49"/>
      <c r="DF135" s="49"/>
      <c r="DG135" s="49"/>
      <c r="DH135" s="49"/>
    </row>
    <row r="136" ht="13.5" hidden="1" customHeight="1">
      <c r="A136" s="264"/>
      <c r="B136" s="165"/>
      <c r="C136" s="165"/>
      <c r="D136" s="165"/>
      <c r="E136" s="165"/>
      <c r="F136" s="166"/>
      <c r="G136" s="167"/>
      <c r="H136" s="168"/>
      <c r="I136" s="167"/>
      <c r="J136" s="168"/>
      <c r="K136" s="167"/>
      <c r="L136" s="168"/>
      <c r="M136" s="167"/>
      <c r="N136" s="168"/>
      <c r="O136" s="167"/>
      <c r="P136" s="168"/>
      <c r="Q136" s="167"/>
      <c r="R136" s="168"/>
      <c r="S136" s="167"/>
      <c r="T136" s="168"/>
      <c r="U136" s="169"/>
      <c r="V136" s="168"/>
      <c r="W136" s="169"/>
      <c r="X136" s="168"/>
      <c r="Y136" s="167"/>
      <c r="Z136" s="168"/>
      <c r="AA136" s="167"/>
      <c r="AB136" s="166"/>
      <c r="AC136" s="165"/>
      <c r="AD136" s="168"/>
      <c r="AE136" s="170"/>
      <c r="AF136" s="171"/>
      <c r="AG136" s="113"/>
      <c r="AH136" s="113"/>
      <c r="AI136" s="113"/>
      <c r="AJ136" s="113"/>
      <c r="AK136" s="113"/>
      <c r="AL136" s="113"/>
      <c r="AM136" s="113"/>
      <c r="AN136" s="113"/>
      <c r="AO136" s="113"/>
      <c r="AP136" s="113"/>
      <c r="AQ136" s="113"/>
      <c r="AR136" s="113"/>
      <c r="AS136" s="113"/>
      <c r="AT136" s="113"/>
      <c r="AU136" s="113"/>
      <c r="AV136" s="113"/>
      <c r="AW136" s="113"/>
      <c r="AY136" s="49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50" t="s">
        <v>362</v>
      </c>
      <c r="BN136" s="49"/>
      <c r="BO136" s="175" t="str">
        <f>IF(BO135="","",BN135)</f>
        <v/>
      </c>
      <c r="BP136" s="49" t="s">
        <v>362</v>
      </c>
      <c r="BQ136" s="49"/>
      <c r="BR136" s="50" t="s">
        <v>362</v>
      </c>
      <c r="BS136" s="49"/>
      <c r="BT136" s="175" t="str">
        <f>IF(BT135="","",BS135)</f>
        <v/>
      </c>
      <c r="BU136" s="49" t="s">
        <v>362</v>
      </c>
      <c r="BV136" s="49"/>
      <c r="BW136" s="49" t="s">
        <v>362</v>
      </c>
      <c r="BX136" s="49"/>
      <c r="BY136" s="160" t="str">
        <f>IF(BY135="","",BX135)</f>
        <v> </v>
      </c>
      <c r="BZ136" s="260" t="str">
        <f t="shared" si="34"/>
        <v> </v>
      </c>
      <c r="CA136" s="49"/>
      <c r="CB136" s="262" t="str">
        <f t="shared" si="35"/>
        <v>св</v>
      </c>
      <c r="CC136" s="49"/>
      <c r="CD136" s="49"/>
      <c r="CE136" s="49" t="s">
        <v>362</v>
      </c>
      <c r="CF136" s="49"/>
      <c r="CG136" s="180" t="str">
        <f>IF(CG135="","",CF135)</f>
        <v> </v>
      </c>
      <c r="CH136" s="49" t="s">
        <v>361</v>
      </c>
      <c r="CI136" s="49"/>
      <c r="CJ136" s="49" t="s">
        <v>362</v>
      </c>
      <c r="CK136" s="49"/>
      <c r="CL136" s="180" t="str">
        <f>IF(CL135="","",CK135)</f>
        <v> </v>
      </c>
      <c r="CM136" s="49" t="s">
        <v>361</v>
      </c>
      <c r="CN136" s="49"/>
      <c r="CO136" s="49" t="s">
        <v>362</v>
      </c>
      <c r="CP136" s="49"/>
      <c r="CQ136" s="180" t="str">
        <f>IF(CQ135="","",CP135)</f>
        <v> </v>
      </c>
      <c r="CR136" s="49" t="s">
        <v>361</v>
      </c>
      <c r="CS136" s="49"/>
      <c r="CT136" s="49" t="s">
        <v>362</v>
      </c>
      <c r="CU136" s="49"/>
      <c r="CV136" s="180" t="str">
        <f>IF(CV135="","",CU135)</f>
        <v> </v>
      </c>
      <c r="CW136" s="49" t="s">
        <v>361</v>
      </c>
      <c r="CX136" s="49"/>
      <c r="CY136" s="49" t="s">
        <v>362</v>
      </c>
      <c r="CZ136" s="49"/>
      <c r="DA136" s="180" t="str">
        <f>IF(DA135="","",CZ135)</f>
        <v> </v>
      </c>
      <c r="DB136" s="49" t="s">
        <v>361</v>
      </c>
      <c r="DC136" s="49"/>
      <c r="DD136" s="49" t="s">
        <v>362</v>
      </c>
      <c r="DE136" s="49"/>
      <c r="DF136" s="49"/>
      <c r="DG136" s="49"/>
      <c r="DH136" s="49"/>
    </row>
    <row r="137" ht="13.5" hidden="1" customHeight="1">
      <c r="A137" s="264"/>
      <c r="B137" s="126">
        <v>66.0</v>
      </c>
      <c r="C137" s="188" t="str">
        <f>(VLOOKUP($B137,'Пр.взв'!$D$6:$J$63,2,0))</f>
        <v>#N/A</v>
      </c>
      <c r="D137" s="189" t="str">
        <f>(VLOOKUP($B137,'Пр.взв'!$D$6:$J$63,5,0))</f>
        <v>#N/A</v>
      </c>
      <c r="E137" s="190" t="str">
        <f>(VLOOKUP($B137,'Пр.взв'!$D$6:$M$63,8,0))</f>
        <v>#N/A</v>
      </c>
      <c r="F137" s="130"/>
      <c r="G137" s="134"/>
      <c r="H137" s="132"/>
      <c r="I137" s="134"/>
      <c r="J137" s="133" t="str">
        <f>IF(H137="Х","Х",IF($AC137&lt;6," ","Х"))</f>
        <v> </v>
      </c>
      <c r="K137" s="134"/>
      <c r="L137" s="133" t="str">
        <f>IF(J137="Х","Х",IF(K137&lt;3," ",IF($AC137&lt;6," ","Х")))</f>
        <v> </v>
      </c>
      <c r="M137" s="134"/>
      <c r="N137" s="133" t="str">
        <f>IF(L137="Х","Х",IF(M137&lt;3," ",IF($AC137&lt;6," ","Х")))</f>
        <v> </v>
      </c>
      <c r="O137" s="134"/>
      <c r="P137" s="133" t="str">
        <f>IF(N137="Х","Х",IF(O137&lt;3," ",IF($AC137&lt;6," ","Х")))</f>
        <v> </v>
      </c>
      <c r="Q137" s="134"/>
      <c r="R137" s="133" t="str">
        <f>IF(P137="Х","Х",IF(Q137&lt;3," ",IF($AC137&lt;6," ","Х")))</f>
        <v> </v>
      </c>
      <c r="S137" s="134"/>
      <c r="T137" s="133" t="str">
        <f>IF(R137="Х","Х",IF(S137&lt;3," ",IF($AC137&lt;6," ","Х")))</f>
        <v> </v>
      </c>
      <c r="U137" s="135"/>
      <c r="V137" s="133" t="str">
        <f>IF(T137="Х","Х",IF(U137&lt;3," ",IF($AC137&lt;6," ","Х")))</f>
        <v> </v>
      </c>
      <c r="W137" s="135"/>
      <c r="X137" s="133" t="str">
        <f>IF(V137="А1",$AZ$7,IF(V137="Б2",$AZ$6,IF(V137="Б1",$BA$7,IF(V137="А2",$BA$6,IF(V137="Х","Х",IF(V137&lt;6," "," "))))))</f>
        <v> </v>
      </c>
      <c r="Y137" s="136"/>
      <c r="Z137" s="133" t="str">
        <f>IF(V137="Х","Х",IF(ISBLANK(Y137),"",IF(Y137&gt;2.5," ",IF(B137=BB$6,BB$7,BB$6))))</f>
        <v/>
      </c>
      <c r="AA137" s="136"/>
      <c r="AB137" s="240" t="str">
        <f>IF(H137="Х",F$5,IF(J137="Х",H$5,IF(L137="Х",J$5,IF(N137="Х",L$5,IF(P137="Х",N$5,IF(R137="Х",P$5,IF(T137="Х",R$5,IF(X137="Х",T$5,""))))))))</f>
        <v/>
      </c>
      <c r="AC137" s="138">
        <f>SUM(G137+I137+K137+M137+O137+Q137+S137+U137+Y137+AA137)</f>
        <v>0</v>
      </c>
      <c r="AD137" s="241" t="str">
        <f>AF137</f>
        <v>59-71</v>
      </c>
      <c r="AE137" s="140" t="str">
        <f>AD137</f>
        <v>59-71</v>
      </c>
      <c r="AF137" s="141" t="str">
        <f>COUNTIF(AG$6:AG$148,"&gt;"&amp;AG$6:AG$148)+1&amp;REPT("-"&amp;COUNTIF(AG$6:AG$148,"&gt;="&amp;AG$6:AG$148),COUNTIF(AG$6:AG$148,AG137)&gt;1)</f>
        <v>59-71</v>
      </c>
      <c r="AG137" s="142">
        <f>(AR137*100)+(AP137*10)-AC137</f>
        <v>80</v>
      </c>
      <c r="AH137" s="143" t="str">
        <f>IF(OR(F137="Х",F137="св")," ",IF(AND(G137&gt;=0,G137&lt;3),"1"," "))</f>
        <v>1</v>
      </c>
      <c r="AI137" s="90" t="str">
        <f>IF(OR(H137="Х",H137="св")," ",IF(AND(I137&gt;=0,I137&lt;3),"1"," "))</f>
        <v>1</v>
      </c>
      <c r="AJ137" s="90" t="str">
        <f>IF(OR(J137="Х",J137="св")," ",IF(AND(K137&gt;=0,K137&lt;3),"1"," "))</f>
        <v>1</v>
      </c>
      <c r="AK137" s="90" t="str">
        <f>IF(OR(L137="Х",L137="св")," ",IF(AND(M137&gt;=0,M137&lt;3),"1"," "))</f>
        <v>1</v>
      </c>
      <c r="AL137" s="90" t="str">
        <f>IF(OR(N137="Х",N137="св")," ",IF(AND(O137&gt;=0,O137&lt;3),"1"," "))</f>
        <v>1</v>
      </c>
      <c r="AM137" s="90" t="str">
        <f>IF(OR(P137="Х",P137="св")," ",IF(AND(Q137&gt;=0,Q137&lt;3),"1"," "))</f>
        <v>1</v>
      </c>
      <c r="AN137" s="90" t="str">
        <f>IF(OR(R137="Х",R137="св")," ",IF(AND(S137&gt;=0,S137&lt;3),"1"," "))</f>
        <v>1</v>
      </c>
      <c r="AO137" s="90" t="str">
        <f>IF(OR(T137="Х",T137="св")," ",IF(AND(U137&gt;=0,U137&lt;3),"1"," "))</f>
        <v>1</v>
      </c>
      <c r="AP137" s="90">
        <f>COUNTIF(AH137:AO138,1)</f>
        <v>8</v>
      </c>
      <c r="AQ137" s="90">
        <f>AG137-AC137</f>
        <v>80</v>
      </c>
      <c r="AR137" s="144">
        <f>IF(F137=0,0,IF(F137="Х",1,IF(H137="Х",2,IF(J137="Х",3,IF(L137="Х",4,IF(N137="Х",5,IF(P137="Х",6,IF(R137="Х",7,IF(T137="Х",8,IF(V137="Х",9,IF(Y137&gt;2.5,10,IF(AA137&gt;2.5,11,IF(AA137&gt;=0,12,IF(AA137=" ",0,))))))))))))))</f>
        <v>0</v>
      </c>
      <c r="AS137" s="90" t="str">
        <f>COUNTIF(AG$6:AG$134,"&gt;"&amp;AG$6:AG$134)+1&amp;REPT("-"&amp;COUNTIF(AG$6:AG$134,"&gt;="&amp;AG$6:AG$134),COUNTIF(AG$6:AG$134,AG137)&gt;1)</f>
        <v>1-0</v>
      </c>
      <c r="AT137" s="143" t="str">
        <f t="shared" ref="AT137:AW137" si="71">COUNTIF(AU$6:AU$134,"&gt;"&amp;AU$6:AU$134)+1&amp;REPT("-"&amp;COUNTIF(AU$6:AU$134,"&gt;="&amp;AU$6:AU$134),COUNTIF(AU$6:AU$134,AU137)&gt;1)</f>
        <v>1-0</v>
      </c>
      <c r="AU137" s="143" t="str">
        <f t="shared" si="71"/>
        <v>1-0</v>
      </c>
      <c r="AV137" s="143" t="str">
        <f t="shared" si="71"/>
        <v>1</v>
      </c>
      <c r="AW137" s="143" t="str">
        <f t="shared" si="71"/>
        <v>1</v>
      </c>
      <c r="AX137" s="145">
        <f>IF(X137="Х","Х",IF(Y137&lt;3,B137,"Х"))</f>
        <v>66</v>
      </c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50">
        <v>66.0</v>
      </c>
      <c r="BN137" s="49"/>
      <c r="BO137" s="153" t="str">
        <f>IF(BM137&lt;BN137,BM137,"")</f>
        <v/>
      </c>
      <c r="BP137" s="49" t="s">
        <v>362</v>
      </c>
      <c r="BQ137" s="49"/>
      <c r="BR137" s="50" t="s">
        <v>362</v>
      </c>
      <c r="BS137" s="49"/>
      <c r="BT137" s="175" t="str">
        <f>IF(BR137&lt;BS137,BR137,"")</f>
        <v/>
      </c>
      <c r="BU137" s="49" t="s">
        <v>362</v>
      </c>
      <c r="BV137" s="49"/>
      <c r="BW137" s="49">
        <v>66.0</v>
      </c>
      <c r="BX137" s="49" t="s">
        <v>361</v>
      </c>
      <c r="BY137" s="160">
        <f t="array" ref="BY137">IF(BW137&lt;BX137,BW137,"")</f>
        <v>66</v>
      </c>
      <c r="BZ137" s="160">
        <f t="shared" si="34"/>
        <v>66</v>
      </c>
      <c r="CA137" s="49"/>
      <c r="CB137" s="74" t="str">
        <f t="shared" si="35"/>
        <v>св</v>
      </c>
      <c r="CC137" s="49"/>
      <c r="CD137" s="49"/>
      <c r="CE137" s="49">
        <v>66.0</v>
      </c>
      <c r="CF137" s="49" t="s">
        <v>361</v>
      </c>
      <c r="CG137" s="153">
        <f t="array" ref="CG137">IF(CE137&lt;CF137,CE137,"")</f>
        <v>66</v>
      </c>
      <c r="CH137" s="49">
        <v>66.0</v>
      </c>
      <c r="CI137" s="49"/>
      <c r="CJ137" s="49">
        <v>66.0</v>
      </c>
      <c r="CK137" s="49" t="s">
        <v>361</v>
      </c>
      <c r="CL137" s="153">
        <f t="array" ref="CL137">IF(CJ137&lt;CK137,CJ137,"")</f>
        <v>66</v>
      </c>
      <c r="CM137" s="49">
        <v>66.0</v>
      </c>
      <c r="CN137" s="49"/>
      <c r="CO137" s="49">
        <v>66.0</v>
      </c>
      <c r="CP137" s="49" t="s">
        <v>361</v>
      </c>
      <c r="CQ137" s="153">
        <f t="array" ref="CQ137">IF(CO137&lt;CP137,CO137,"")</f>
        <v>66</v>
      </c>
      <c r="CR137" s="49">
        <v>66.0</v>
      </c>
      <c r="CS137" s="49"/>
      <c r="CT137" s="49">
        <v>66.0</v>
      </c>
      <c r="CU137" s="49" t="s">
        <v>361</v>
      </c>
      <c r="CV137" s="153">
        <f t="array" ref="CV137">IF(CT137&lt;CU137,CT137,"")</f>
        <v>66</v>
      </c>
      <c r="CW137" s="49">
        <v>66.0</v>
      </c>
      <c r="CX137" s="49"/>
      <c r="CY137" s="49">
        <v>66.0</v>
      </c>
      <c r="CZ137" s="49" t="s">
        <v>361</v>
      </c>
      <c r="DA137" s="153">
        <f t="array" ref="DA137">IF(CY137&lt;CZ137,CY137,"")</f>
        <v>66</v>
      </c>
      <c r="DB137" s="49">
        <v>66.0</v>
      </c>
      <c r="DC137" s="49"/>
      <c r="DD137" s="49">
        <v>66.0</v>
      </c>
      <c r="DE137" s="49"/>
      <c r="DF137" s="49"/>
      <c r="DG137" s="49"/>
      <c r="DH137" s="49"/>
    </row>
    <row r="138" ht="13.5" hidden="1" customHeight="1">
      <c r="A138" s="264"/>
      <c r="B138" s="165"/>
      <c r="C138" s="165"/>
      <c r="D138" s="165"/>
      <c r="E138" s="165"/>
      <c r="F138" s="166"/>
      <c r="G138" s="167"/>
      <c r="H138" s="168"/>
      <c r="I138" s="167"/>
      <c r="J138" s="168"/>
      <c r="K138" s="167"/>
      <c r="L138" s="168"/>
      <c r="M138" s="167"/>
      <c r="N138" s="168"/>
      <c r="O138" s="167"/>
      <c r="P138" s="168"/>
      <c r="Q138" s="167"/>
      <c r="R138" s="168"/>
      <c r="S138" s="167"/>
      <c r="T138" s="168"/>
      <c r="U138" s="169"/>
      <c r="V138" s="168"/>
      <c r="W138" s="169"/>
      <c r="X138" s="168"/>
      <c r="Y138" s="167"/>
      <c r="Z138" s="168"/>
      <c r="AA138" s="167"/>
      <c r="AB138" s="166"/>
      <c r="AC138" s="165"/>
      <c r="AD138" s="168"/>
      <c r="AE138" s="170"/>
      <c r="AF138" s="171"/>
      <c r="AG138" s="113"/>
      <c r="AH138" s="113"/>
      <c r="AI138" s="113"/>
      <c r="AJ138" s="113"/>
      <c r="AK138" s="113"/>
      <c r="AL138" s="113"/>
      <c r="AM138" s="113"/>
      <c r="AN138" s="113"/>
      <c r="AO138" s="113"/>
      <c r="AP138" s="113"/>
      <c r="AQ138" s="113"/>
      <c r="AR138" s="113"/>
      <c r="AS138" s="113"/>
      <c r="AT138" s="113"/>
      <c r="AU138" s="113"/>
      <c r="AV138" s="113"/>
      <c r="AW138" s="113"/>
      <c r="AY138" s="49"/>
      <c r="AZ138" s="49"/>
      <c r="BA138" s="49"/>
      <c r="BB138" s="49"/>
      <c r="BC138" s="49"/>
      <c r="BD138" s="49"/>
      <c r="BE138" s="49"/>
      <c r="BF138" s="49"/>
      <c r="BG138" s="49"/>
      <c r="BH138" s="49"/>
      <c r="BI138" s="49"/>
      <c r="BJ138" s="49"/>
      <c r="BK138" s="49"/>
      <c r="BL138" s="49"/>
      <c r="BM138" s="50" t="s">
        <v>362</v>
      </c>
      <c r="BN138" s="49"/>
      <c r="BO138" s="175" t="str">
        <f>IF(BO137="","",BN137)</f>
        <v/>
      </c>
      <c r="BP138" s="49" t="s">
        <v>362</v>
      </c>
      <c r="BQ138" s="49"/>
      <c r="BR138" s="50" t="s">
        <v>362</v>
      </c>
      <c r="BS138" s="49"/>
      <c r="BT138" s="175" t="str">
        <f>IF(BT137="","",BS137)</f>
        <v/>
      </c>
      <c r="BU138" s="49" t="s">
        <v>362</v>
      </c>
      <c r="BV138" s="49"/>
      <c r="BW138" s="49" t="s">
        <v>362</v>
      </c>
      <c r="BX138" s="49"/>
      <c r="BY138" s="160" t="str">
        <f>IF(BY137="","",BX137)</f>
        <v> </v>
      </c>
      <c r="BZ138" s="260" t="str">
        <f t="shared" si="34"/>
        <v> </v>
      </c>
      <c r="CA138" s="49"/>
      <c r="CB138" s="262" t="str">
        <f t="shared" si="35"/>
        <v>св</v>
      </c>
      <c r="CC138" s="49"/>
      <c r="CD138" s="49"/>
      <c r="CE138" s="49" t="s">
        <v>362</v>
      </c>
      <c r="CF138" s="49"/>
      <c r="CG138" s="180" t="str">
        <f>IF(CG137="","",CF137)</f>
        <v> </v>
      </c>
      <c r="CH138" s="49" t="s">
        <v>361</v>
      </c>
      <c r="CI138" s="49"/>
      <c r="CJ138" s="49" t="s">
        <v>362</v>
      </c>
      <c r="CK138" s="49"/>
      <c r="CL138" s="180" t="str">
        <f>IF(CL137="","",CK137)</f>
        <v> </v>
      </c>
      <c r="CM138" s="49" t="s">
        <v>361</v>
      </c>
      <c r="CN138" s="49"/>
      <c r="CO138" s="49" t="s">
        <v>362</v>
      </c>
      <c r="CP138" s="49"/>
      <c r="CQ138" s="180" t="str">
        <f>IF(CQ137="","",CP137)</f>
        <v> </v>
      </c>
      <c r="CR138" s="49" t="s">
        <v>361</v>
      </c>
      <c r="CS138" s="49"/>
      <c r="CT138" s="49" t="s">
        <v>362</v>
      </c>
      <c r="CU138" s="49"/>
      <c r="CV138" s="180" t="str">
        <f>IF(CV137="","",CU137)</f>
        <v> </v>
      </c>
      <c r="CW138" s="49" t="s">
        <v>361</v>
      </c>
      <c r="CX138" s="49"/>
      <c r="CY138" s="49" t="s">
        <v>362</v>
      </c>
      <c r="CZ138" s="49"/>
      <c r="DA138" s="180" t="str">
        <f>IF(DA137="","",CZ137)</f>
        <v> </v>
      </c>
      <c r="DB138" s="49" t="s">
        <v>361</v>
      </c>
      <c r="DC138" s="49"/>
      <c r="DD138" s="49" t="s">
        <v>362</v>
      </c>
      <c r="DE138" s="49"/>
      <c r="DF138" s="49"/>
      <c r="DG138" s="49"/>
      <c r="DH138" s="49"/>
    </row>
    <row r="139" ht="13.5" hidden="1" customHeight="1">
      <c r="A139" s="264"/>
      <c r="B139" s="126">
        <v>67.0</v>
      </c>
      <c r="C139" s="188" t="str">
        <f>(VLOOKUP($B139,'Пр.взв'!$D$6:$J$63,2,0))</f>
        <v>#N/A</v>
      </c>
      <c r="D139" s="189" t="str">
        <f>(VLOOKUP($B139,'Пр.взв'!$D$6:$J$63,5,0))</f>
        <v>#N/A</v>
      </c>
      <c r="E139" s="190" t="str">
        <f>(VLOOKUP($B139,'Пр.взв'!$D$6:$M$63,8,0))</f>
        <v>#N/A</v>
      </c>
      <c r="F139" s="130"/>
      <c r="G139" s="134"/>
      <c r="H139" s="132"/>
      <c r="I139" s="134"/>
      <c r="J139" s="133" t="str">
        <f>IF(H139="Х","Х",IF($AC139&lt;6," ","Х"))</f>
        <v> </v>
      </c>
      <c r="K139" s="134"/>
      <c r="L139" s="133" t="str">
        <f>IF(J139="Х","Х",IF(K139&lt;3," ",IF($AC139&lt;6," ","Х")))</f>
        <v> </v>
      </c>
      <c r="M139" s="134"/>
      <c r="N139" s="133" t="str">
        <f>IF(L139="Х","Х",IF(M139&lt;3," ",IF($AC139&lt;6," ","Х")))</f>
        <v> </v>
      </c>
      <c r="O139" s="134"/>
      <c r="P139" s="133" t="str">
        <f>IF(N139="Х","Х",IF(O139&lt;3," ",IF($AC139&lt;6," ","Х")))</f>
        <v> </v>
      </c>
      <c r="Q139" s="134"/>
      <c r="R139" s="133" t="str">
        <f>IF(P139="Х","Х",IF(Q139&lt;3," ",IF($AC139&lt;6," ","Х")))</f>
        <v> </v>
      </c>
      <c r="S139" s="134"/>
      <c r="T139" s="133" t="str">
        <f>IF(R139="Х","Х",IF(S139&lt;3," ",IF($AC139&lt;6," ","Х")))</f>
        <v> </v>
      </c>
      <c r="U139" s="135"/>
      <c r="V139" s="133" t="str">
        <f>IF(T139="Х","Х",IF(U139&lt;3," ",IF($AC139&lt;6," ","Х")))</f>
        <v> </v>
      </c>
      <c r="W139" s="135"/>
      <c r="X139" s="133" t="str">
        <f>IF(V139="А1",$AZ$7,IF(V139="Б2",$AZ$6,IF(V139="Б1",$BA$7,IF(V139="А2",$BA$6,IF(V139="Х","Х",IF(V139&lt;6," "," "))))))</f>
        <v> </v>
      </c>
      <c r="Y139" s="136"/>
      <c r="Z139" s="133" t="str">
        <f>IF(V139="Х","Х",IF(ISBLANK(Y139),"",IF(Y139&gt;2.5," ",IF(B139=BB$6,BB$7,BB$6))))</f>
        <v/>
      </c>
      <c r="AA139" s="136"/>
      <c r="AB139" s="240" t="str">
        <f>IF(H139="Х",F$5,IF(J139="Х",H$5,IF(L139="Х",J$5,IF(N139="Х",L$5,IF(P139="Х",N$5,IF(R139="Х",P$5,IF(T139="Х",R$5,IF(X139="Х",T$5,""))))))))</f>
        <v/>
      </c>
      <c r="AC139" s="138">
        <f>SUM(G139+I139+K139+M139+O139+Q139+S139+U139+Y139+AA139)</f>
        <v>0</v>
      </c>
      <c r="AD139" s="241" t="str">
        <f>AF139</f>
        <v>59-71</v>
      </c>
      <c r="AE139" s="140" t="str">
        <f>AD139</f>
        <v>59-71</v>
      </c>
      <c r="AF139" s="141" t="str">
        <f>COUNTIF(AG$6:AG$148,"&gt;"&amp;AG$6:AG$148)+1&amp;REPT("-"&amp;COUNTIF(AG$6:AG$148,"&gt;="&amp;AG$6:AG$148),COUNTIF(AG$6:AG$148,AG139)&gt;1)</f>
        <v>59-71</v>
      </c>
      <c r="AG139" s="142">
        <f>(AR139*100)+(AP139*10)-AC139</f>
        <v>80</v>
      </c>
      <c r="AH139" s="143" t="str">
        <f>IF(OR(F139="Х",F139="св")," ",IF(AND(G139&gt;=0,G139&lt;3),"1"," "))</f>
        <v>1</v>
      </c>
      <c r="AI139" s="90" t="str">
        <f>IF(OR(H139="Х",H139="св")," ",IF(AND(I139&gt;=0,I139&lt;3),"1"," "))</f>
        <v>1</v>
      </c>
      <c r="AJ139" s="90" t="str">
        <f>IF(OR(J139="Х",J139="св")," ",IF(AND(K139&gt;=0,K139&lt;3),"1"," "))</f>
        <v>1</v>
      </c>
      <c r="AK139" s="90" t="str">
        <f>IF(OR(L139="Х",L139="св")," ",IF(AND(M139&gt;=0,M139&lt;3),"1"," "))</f>
        <v>1</v>
      </c>
      <c r="AL139" s="90" t="str">
        <f>IF(OR(N139="Х",N139="св")," ",IF(AND(O139&gt;=0,O139&lt;3),"1"," "))</f>
        <v>1</v>
      </c>
      <c r="AM139" s="90" t="str">
        <f>IF(OR(P139="Х",P139="св")," ",IF(AND(Q139&gt;=0,Q139&lt;3),"1"," "))</f>
        <v>1</v>
      </c>
      <c r="AN139" s="90" t="str">
        <f>IF(OR(R139="Х",R139="св")," ",IF(AND(S139&gt;=0,S139&lt;3),"1"," "))</f>
        <v>1</v>
      </c>
      <c r="AO139" s="90" t="str">
        <f>IF(OR(T139="Х",T139="св")," ",IF(AND(U139&gt;=0,U139&lt;3),"1"," "))</f>
        <v>1</v>
      </c>
      <c r="AP139" s="90">
        <f>COUNTIF(AH139:AO140,1)</f>
        <v>8</v>
      </c>
      <c r="AQ139" s="90">
        <f>AG139-AC139</f>
        <v>80</v>
      </c>
      <c r="AR139" s="144">
        <f>IF(F139=0,0,IF(F139="Х",1,IF(H139="Х",2,IF(J139="Х",3,IF(L139="Х",4,IF(N139="Х",5,IF(P139="Х",6,IF(R139="Х",7,IF(T139="Х",8,IF(V139="Х",9,IF(Y139&gt;2.5,10,IF(AA139&gt;2.5,11,IF(AA139&gt;=0,12,IF(AA139=" ",0,))))))))))))))</f>
        <v>0</v>
      </c>
      <c r="AS139" s="90" t="str">
        <f>COUNTIF(AG$6:AG$134,"&gt;"&amp;AG$6:AG$134)+1&amp;REPT("-"&amp;COUNTIF(AG$6:AG$134,"&gt;="&amp;AG$6:AG$134),COUNTIF(AG$6:AG$134,AG139)&gt;1)</f>
        <v>1-0</v>
      </c>
      <c r="AT139" s="143" t="str">
        <f t="shared" ref="AT139:AW139" si="72">COUNTIF(AU$6:AU$134,"&gt;"&amp;AU$6:AU$134)+1&amp;REPT("-"&amp;COUNTIF(AU$6:AU$134,"&gt;="&amp;AU$6:AU$134),COUNTIF(AU$6:AU$134,AU139)&gt;1)</f>
        <v>1-0</v>
      </c>
      <c r="AU139" s="143" t="str">
        <f t="shared" si="72"/>
        <v>1-0</v>
      </c>
      <c r="AV139" s="143" t="str">
        <f t="shared" si="72"/>
        <v>1</v>
      </c>
      <c r="AW139" s="143" t="str">
        <f t="shared" si="72"/>
        <v>1</v>
      </c>
      <c r="AX139" s="145">
        <f>IF(X139="Х","Х",IF(Y139&lt;3,B139,"Х"))</f>
        <v>67</v>
      </c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50">
        <v>67.0</v>
      </c>
      <c r="BN139" s="49"/>
      <c r="BO139" s="153" t="str">
        <f>IF(BM139&lt;BN139,BM139,"")</f>
        <v/>
      </c>
      <c r="BP139" s="49" t="s">
        <v>362</v>
      </c>
      <c r="BQ139" s="49"/>
      <c r="BR139" s="50" t="s">
        <v>362</v>
      </c>
      <c r="BS139" s="49"/>
      <c r="BT139" s="175" t="str">
        <f>IF(BR139&lt;BS139,BR139,"")</f>
        <v/>
      </c>
      <c r="BU139" s="49" t="s">
        <v>362</v>
      </c>
      <c r="BV139" s="49"/>
      <c r="BW139" s="49">
        <v>67.0</v>
      </c>
      <c r="BX139" s="49" t="s">
        <v>361</v>
      </c>
      <c r="BY139" s="160">
        <f t="array" ref="BY139">IF(BW139&lt;BX139,BW139,"")</f>
        <v>67</v>
      </c>
      <c r="BZ139" s="160">
        <f t="shared" si="34"/>
        <v>67</v>
      </c>
      <c r="CA139" s="49"/>
      <c r="CB139" s="74" t="str">
        <f t="shared" si="35"/>
        <v>св</v>
      </c>
      <c r="CC139" s="49"/>
      <c r="CD139" s="49"/>
      <c r="CE139" s="49">
        <v>67.0</v>
      </c>
      <c r="CF139" s="49" t="s">
        <v>361</v>
      </c>
      <c r="CG139" s="153">
        <f t="array" ref="CG139">IF(CE139&lt;CF139,CE139,"")</f>
        <v>67</v>
      </c>
      <c r="CH139" s="49">
        <v>67.0</v>
      </c>
      <c r="CI139" s="49"/>
      <c r="CJ139" s="49">
        <v>67.0</v>
      </c>
      <c r="CK139" s="49" t="s">
        <v>361</v>
      </c>
      <c r="CL139" s="153">
        <f t="array" ref="CL139">IF(CJ139&lt;CK139,CJ139,"")</f>
        <v>67</v>
      </c>
      <c r="CM139" s="49">
        <v>67.0</v>
      </c>
      <c r="CN139" s="49"/>
      <c r="CO139" s="49">
        <v>67.0</v>
      </c>
      <c r="CP139" s="49" t="s">
        <v>361</v>
      </c>
      <c r="CQ139" s="153">
        <f t="array" ref="CQ139">IF(CO139&lt;CP139,CO139,"")</f>
        <v>67</v>
      </c>
      <c r="CR139" s="49">
        <v>67.0</v>
      </c>
      <c r="CS139" s="49"/>
      <c r="CT139" s="49">
        <v>67.0</v>
      </c>
      <c r="CU139" s="49" t="s">
        <v>361</v>
      </c>
      <c r="CV139" s="153">
        <f t="array" ref="CV139">IF(CT139&lt;CU139,CT139,"")</f>
        <v>67</v>
      </c>
      <c r="CW139" s="49">
        <v>67.0</v>
      </c>
      <c r="CX139" s="49"/>
      <c r="CY139" s="49">
        <v>67.0</v>
      </c>
      <c r="CZ139" s="49" t="s">
        <v>361</v>
      </c>
      <c r="DA139" s="153">
        <f t="array" ref="DA139">IF(CY139&lt;CZ139,CY139,"")</f>
        <v>67</v>
      </c>
      <c r="DB139" s="49">
        <v>67.0</v>
      </c>
      <c r="DC139" s="49"/>
      <c r="DD139" s="49">
        <v>67.0</v>
      </c>
      <c r="DE139" s="49"/>
      <c r="DF139" s="49"/>
      <c r="DG139" s="49"/>
      <c r="DH139" s="49"/>
    </row>
    <row r="140" ht="13.5" hidden="1" customHeight="1">
      <c r="A140" s="264"/>
      <c r="B140" s="165"/>
      <c r="C140" s="165"/>
      <c r="D140" s="165"/>
      <c r="E140" s="165"/>
      <c r="F140" s="166"/>
      <c r="G140" s="167"/>
      <c r="H140" s="168"/>
      <c r="I140" s="167"/>
      <c r="J140" s="168"/>
      <c r="K140" s="167"/>
      <c r="L140" s="168"/>
      <c r="M140" s="167"/>
      <c r="N140" s="168"/>
      <c r="O140" s="167"/>
      <c r="P140" s="168"/>
      <c r="Q140" s="167"/>
      <c r="R140" s="168"/>
      <c r="S140" s="167"/>
      <c r="T140" s="168"/>
      <c r="U140" s="169"/>
      <c r="V140" s="168"/>
      <c r="W140" s="169"/>
      <c r="X140" s="168"/>
      <c r="Y140" s="167"/>
      <c r="Z140" s="168"/>
      <c r="AA140" s="167"/>
      <c r="AB140" s="166"/>
      <c r="AC140" s="165"/>
      <c r="AD140" s="168"/>
      <c r="AE140" s="170"/>
      <c r="AF140" s="171"/>
      <c r="AG140" s="113"/>
      <c r="AH140" s="113"/>
      <c r="AI140" s="113"/>
      <c r="AJ140" s="113"/>
      <c r="AK140" s="113"/>
      <c r="AL140" s="113"/>
      <c r="AM140" s="113"/>
      <c r="AN140" s="113"/>
      <c r="AO140" s="113"/>
      <c r="AP140" s="113"/>
      <c r="AQ140" s="113"/>
      <c r="AR140" s="113"/>
      <c r="AS140" s="113"/>
      <c r="AT140" s="113"/>
      <c r="AU140" s="113"/>
      <c r="AV140" s="113"/>
      <c r="AW140" s="113"/>
      <c r="AY140" s="49"/>
      <c r="AZ140" s="49"/>
      <c r="BA140" s="49"/>
      <c r="BB140" s="49"/>
      <c r="BC140" s="49"/>
      <c r="BD140" s="49"/>
      <c r="BE140" s="49"/>
      <c r="BF140" s="49"/>
      <c r="BG140" s="49"/>
      <c r="BH140" s="49"/>
      <c r="BI140" s="49"/>
      <c r="BJ140" s="49"/>
      <c r="BK140" s="49"/>
      <c r="BL140" s="49"/>
      <c r="BM140" s="50" t="s">
        <v>362</v>
      </c>
      <c r="BN140" s="49"/>
      <c r="BO140" s="175" t="str">
        <f>IF(BO139="","",BN139)</f>
        <v/>
      </c>
      <c r="BP140" s="49" t="s">
        <v>362</v>
      </c>
      <c r="BQ140" s="49"/>
      <c r="BR140" s="50" t="s">
        <v>362</v>
      </c>
      <c r="BS140" s="49"/>
      <c r="BT140" s="175" t="str">
        <f>IF(BT139="","",BS139)</f>
        <v/>
      </c>
      <c r="BU140" s="49" t="s">
        <v>362</v>
      </c>
      <c r="BV140" s="49"/>
      <c r="BW140" s="49" t="s">
        <v>362</v>
      </c>
      <c r="BX140" s="49"/>
      <c r="BY140" s="160" t="str">
        <f>IF(BY139="","",BX139)</f>
        <v> </v>
      </c>
      <c r="BZ140" s="260" t="str">
        <f t="shared" si="34"/>
        <v> </v>
      </c>
      <c r="CA140" s="49"/>
      <c r="CB140" s="262" t="str">
        <f t="shared" si="35"/>
        <v>св</v>
      </c>
      <c r="CC140" s="49"/>
      <c r="CD140" s="49"/>
      <c r="CE140" s="49" t="s">
        <v>362</v>
      </c>
      <c r="CF140" s="49"/>
      <c r="CG140" s="180" t="str">
        <f>IF(CG139="","",CF139)</f>
        <v> </v>
      </c>
      <c r="CH140" s="49" t="s">
        <v>361</v>
      </c>
      <c r="CI140" s="49"/>
      <c r="CJ140" s="49" t="s">
        <v>362</v>
      </c>
      <c r="CK140" s="49"/>
      <c r="CL140" s="180" t="str">
        <f>IF(CL139="","",CK139)</f>
        <v> </v>
      </c>
      <c r="CM140" s="49" t="s">
        <v>361</v>
      </c>
      <c r="CN140" s="49"/>
      <c r="CO140" s="49" t="s">
        <v>362</v>
      </c>
      <c r="CP140" s="49"/>
      <c r="CQ140" s="180" t="str">
        <f>IF(CQ139="","",CP139)</f>
        <v> </v>
      </c>
      <c r="CR140" s="49" t="s">
        <v>361</v>
      </c>
      <c r="CS140" s="49"/>
      <c r="CT140" s="49" t="s">
        <v>362</v>
      </c>
      <c r="CU140" s="49"/>
      <c r="CV140" s="180" t="str">
        <f>IF(CV139="","",CU139)</f>
        <v> </v>
      </c>
      <c r="CW140" s="49" t="s">
        <v>361</v>
      </c>
      <c r="CX140" s="49"/>
      <c r="CY140" s="49" t="s">
        <v>362</v>
      </c>
      <c r="CZ140" s="49"/>
      <c r="DA140" s="180" t="str">
        <f>IF(DA139="","",CZ139)</f>
        <v> </v>
      </c>
      <c r="DB140" s="49" t="s">
        <v>361</v>
      </c>
      <c r="DC140" s="49"/>
      <c r="DD140" s="49" t="s">
        <v>362</v>
      </c>
      <c r="DE140" s="49"/>
      <c r="DF140" s="49"/>
      <c r="DG140" s="49"/>
      <c r="DH140" s="49"/>
    </row>
    <row r="141" ht="13.5" hidden="1" customHeight="1">
      <c r="A141" s="264"/>
      <c r="B141" s="126">
        <v>68.0</v>
      </c>
      <c r="C141" s="188" t="str">
        <f>(VLOOKUP($B141,'Пр.взв'!$D$6:$J$63,2,0))</f>
        <v>#N/A</v>
      </c>
      <c r="D141" s="189" t="str">
        <f>(VLOOKUP($B141,'Пр.взв'!$D$6:$J$63,5,0))</f>
        <v>#N/A</v>
      </c>
      <c r="E141" s="190" t="str">
        <f>(VLOOKUP($B141,'Пр.взв'!$D$6:$M$63,8,0))</f>
        <v>#N/A</v>
      </c>
      <c r="F141" s="130"/>
      <c r="G141" s="134"/>
      <c r="H141" s="132"/>
      <c r="I141" s="134"/>
      <c r="J141" s="133" t="str">
        <f>IF(H141="Х","Х",IF($AC141&lt;6," ","Х"))</f>
        <v> </v>
      </c>
      <c r="K141" s="134"/>
      <c r="L141" s="133" t="str">
        <f>IF(J141="Х","Х",IF(K141&lt;3," ",IF($AC141&lt;6," ","Х")))</f>
        <v> </v>
      </c>
      <c r="M141" s="134"/>
      <c r="N141" s="133" t="str">
        <f>IF(L141="Х","Х",IF(M141&lt;3," ",IF($AC141&lt;6," ","Х")))</f>
        <v> </v>
      </c>
      <c r="O141" s="134"/>
      <c r="P141" s="133" t="str">
        <f>IF(N141="Х","Х",IF(O141&lt;3," ",IF($AC141&lt;6," ","Х")))</f>
        <v> </v>
      </c>
      <c r="Q141" s="134"/>
      <c r="R141" s="133" t="str">
        <f>IF(P141="Х","Х",IF(Q141&lt;3," ",IF($AC141&lt;6," ","Х")))</f>
        <v> </v>
      </c>
      <c r="S141" s="134"/>
      <c r="T141" s="133" t="str">
        <f>IF(R141="Х","Х",IF(S141&lt;3," ",IF($AC141&lt;6," ","Х")))</f>
        <v> </v>
      </c>
      <c r="U141" s="135"/>
      <c r="V141" s="133" t="str">
        <f>IF(T141="Х","Х",IF(U141&lt;3," ",IF($AC141&lt;6," ","Х")))</f>
        <v> </v>
      </c>
      <c r="W141" s="135"/>
      <c r="X141" s="133" t="str">
        <f>IF(V141="А1",$AZ$7,IF(V141="Б2",$AZ$6,IF(V141="Б1",$BA$7,IF(V141="А2",$BA$6,IF(V141="Х","Х",IF(V141&lt;6," "," "))))))</f>
        <v> </v>
      </c>
      <c r="Y141" s="136"/>
      <c r="Z141" s="133" t="str">
        <f>IF(V141="Х","Х",IF(ISBLANK(Y141),"",IF(Y141&gt;2.5," ",IF(B141=BB$6,BB$7,BB$6))))</f>
        <v/>
      </c>
      <c r="AA141" s="136"/>
      <c r="AB141" s="240" t="str">
        <f>IF(H141="Х",F$5,IF(J141="Х",H$5,IF(L141="Х",J$5,IF(N141="Х",L$5,IF(P141="Х",N$5,IF(R141="Х",P$5,IF(T141="Х",R$5,IF(X141="Х",T$5,""))))))))</f>
        <v/>
      </c>
      <c r="AC141" s="138">
        <f>SUM(G141+I141+K141+M141+O141+Q141+S141+U141+Y141+AA141)</f>
        <v>0</v>
      </c>
      <c r="AD141" s="241" t="str">
        <f>AF141</f>
        <v>59-71</v>
      </c>
      <c r="AE141" s="140" t="str">
        <f>AD141</f>
        <v>59-71</v>
      </c>
      <c r="AF141" s="141" t="str">
        <f>COUNTIF(AG$6:AG$148,"&gt;"&amp;AG$6:AG$148)+1&amp;REPT("-"&amp;COUNTIF(AG$6:AG$148,"&gt;="&amp;AG$6:AG$148),COUNTIF(AG$6:AG$148,AG141)&gt;1)</f>
        <v>59-71</v>
      </c>
      <c r="AG141" s="142">
        <f>(AR141*100)+(AP141*10)-AC141</f>
        <v>80</v>
      </c>
      <c r="AH141" s="143" t="str">
        <f>IF(OR(F141="Х",F141="св")," ",IF(AND(G141&gt;=0,G141&lt;3),"1"," "))</f>
        <v>1</v>
      </c>
      <c r="AI141" s="90" t="str">
        <f>IF(OR(H141="Х",H141="св")," ",IF(AND(I141&gt;=0,I141&lt;3),"1"," "))</f>
        <v>1</v>
      </c>
      <c r="AJ141" s="90" t="str">
        <f>IF(OR(J141="Х",J141="св")," ",IF(AND(K141&gt;=0,K141&lt;3),"1"," "))</f>
        <v>1</v>
      </c>
      <c r="AK141" s="90" t="str">
        <f>IF(OR(L141="Х",L141="св")," ",IF(AND(M141&gt;=0,M141&lt;3),"1"," "))</f>
        <v>1</v>
      </c>
      <c r="AL141" s="90" t="str">
        <f>IF(OR(N141="Х",N141="св")," ",IF(AND(O141&gt;=0,O141&lt;3),"1"," "))</f>
        <v>1</v>
      </c>
      <c r="AM141" s="90" t="str">
        <f>IF(OR(P141="Х",P141="св")," ",IF(AND(Q141&gt;=0,Q141&lt;3),"1"," "))</f>
        <v>1</v>
      </c>
      <c r="AN141" s="90" t="str">
        <f>IF(OR(R141="Х",R141="св")," ",IF(AND(S141&gt;=0,S141&lt;3),"1"," "))</f>
        <v>1</v>
      </c>
      <c r="AO141" s="90" t="str">
        <f>IF(OR(T141="Х",T141="св")," ",IF(AND(U141&gt;=0,U141&lt;3),"1"," "))</f>
        <v>1</v>
      </c>
      <c r="AP141" s="90">
        <f>COUNTIF(AH141:AO142,1)</f>
        <v>8</v>
      </c>
      <c r="AQ141" s="90">
        <f>AG141-AC141</f>
        <v>80</v>
      </c>
      <c r="AR141" s="144">
        <f>IF(F141=0,0,IF(F141="Х",1,IF(H141="Х",2,IF(J141="Х",3,IF(L141="Х",4,IF(N141="Х",5,IF(P141="Х",6,IF(R141="Х",7,IF(T141="Х",8,IF(V141="Х",9,IF(Y141&gt;2.5,10,IF(AA141&gt;2.5,11,IF(AA141&gt;=0,12,IF(AA141=" ",0,))))))))))))))</f>
        <v>0</v>
      </c>
      <c r="AS141" s="90" t="str">
        <f>COUNTIF(AG$6:AG$134,"&gt;"&amp;AG$6:AG$134)+1&amp;REPT("-"&amp;COUNTIF(AG$6:AG$134,"&gt;="&amp;AG$6:AG$134),COUNTIF(AG$6:AG$134,AG141)&gt;1)</f>
        <v>1-0</v>
      </c>
      <c r="AT141" s="143" t="str">
        <f t="shared" ref="AT141:AW141" si="73">COUNTIF(AU$6:AU$134,"&gt;"&amp;AU$6:AU$134)+1&amp;REPT("-"&amp;COUNTIF(AU$6:AU$134,"&gt;="&amp;AU$6:AU$134),COUNTIF(AU$6:AU$134,AU141)&gt;1)</f>
        <v>1-0</v>
      </c>
      <c r="AU141" s="143" t="str">
        <f t="shared" si="73"/>
        <v>1-0</v>
      </c>
      <c r="AV141" s="143" t="str">
        <f t="shared" si="73"/>
        <v>1</v>
      </c>
      <c r="AW141" s="143" t="str">
        <f t="shared" si="73"/>
        <v>1</v>
      </c>
      <c r="AX141" s="145">
        <f>IF(X141="Х","Х",IF(Y141&lt;3,B141,"Х"))</f>
        <v>68</v>
      </c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50">
        <v>68.0</v>
      </c>
      <c r="BN141" s="49"/>
      <c r="BO141" s="153" t="str">
        <f>IF(BM141&lt;BN141,BM141,"")</f>
        <v/>
      </c>
      <c r="BP141" s="49" t="s">
        <v>362</v>
      </c>
      <c r="BQ141" s="49"/>
      <c r="BR141" s="50" t="s">
        <v>362</v>
      </c>
      <c r="BS141" s="49"/>
      <c r="BT141" s="175" t="str">
        <f>IF(BR141&lt;BS141,BR141,"")</f>
        <v/>
      </c>
      <c r="BU141" s="49" t="s">
        <v>362</v>
      </c>
      <c r="BV141" s="49"/>
      <c r="BW141" s="49">
        <v>68.0</v>
      </c>
      <c r="BX141" s="49" t="s">
        <v>361</v>
      </c>
      <c r="BY141" s="160">
        <f t="array" ref="BY141">IF(BW141&lt;BX141,BW141,"")</f>
        <v>68</v>
      </c>
      <c r="BZ141" s="160">
        <f t="shared" si="34"/>
        <v>68</v>
      </c>
      <c r="CA141" s="49"/>
      <c r="CB141" s="74" t="str">
        <f t="shared" si="35"/>
        <v>св</v>
      </c>
      <c r="CC141" s="49"/>
      <c r="CD141" s="49"/>
      <c r="CE141" s="49">
        <v>68.0</v>
      </c>
      <c r="CF141" s="49" t="s">
        <v>361</v>
      </c>
      <c r="CG141" s="153">
        <f t="array" ref="CG141">IF(CE141&lt;CF141,CE141,"")</f>
        <v>68</v>
      </c>
      <c r="CH141" s="49">
        <v>68.0</v>
      </c>
      <c r="CI141" s="49"/>
      <c r="CJ141" s="49">
        <v>68.0</v>
      </c>
      <c r="CK141" s="49" t="s">
        <v>361</v>
      </c>
      <c r="CL141" s="153">
        <f t="array" ref="CL141">IF(CJ141&lt;CK141,CJ141,"")</f>
        <v>68</v>
      </c>
      <c r="CM141" s="49">
        <v>68.0</v>
      </c>
      <c r="CN141" s="49"/>
      <c r="CO141" s="49">
        <v>68.0</v>
      </c>
      <c r="CP141" s="49" t="s">
        <v>361</v>
      </c>
      <c r="CQ141" s="153">
        <f t="array" ref="CQ141">IF(CO141&lt;CP141,CO141,"")</f>
        <v>68</v>
      </c>
      <c r="CR141" s="49">
        <v>68.0</v>
      </c>
      <c r="CS141" s="49"/>
      <c r="CT141" s="49">
        <v>68.0</v>
      </c>
      <c r="CU141" s="49" t="s">
        <v>361</v>
      </c>
      <c r="CV141" s="153">
        <f t="array" ref="CV141">IF(CT141&lt;CU141,CT141,"")</f>
        <v>68</v>
      </c>
      <c r="CW141" s="49">
        <v>68.0</v>
      </c>
      <c r="CX141" s="49"/>
      <c r="CY141" s="49">
        <v>68.0</v>
      </c>
      <c r="CZ141" s="49" t="s">
        <v>361</v>
      </c>
      <c r="DA141" s="153">
        <f t="array" ref="DA141">IF(CY141&lt;CZ141,CY141,"")</f>
        <v>68</v>
      </c>
      <c r="DB141" s="49">
        <v>68.0</v>
      </c>
      <c r="DC141" s="49"/>
      <c r="DD141" s="49">
        <v>68.0</v>
      </c>
      <c r="DE141" s="49"/>
      <c r="DF141" s="49"/>
      <c r="DG141" s="49"/>
      <c r="DH141" s="49"/>
    </row>
    <row r="142" ht="13.5" hidden="1" customHeight="1">
      <c r="A142" s="264"/>
      <c r="B142" s="165"/>
      <c r="C142" s="165"/>
      <c r="D142" s="165"/>
      <c r="E142" s="165"/>
      <c r="F142" s="166"/>
      <c r="G142" s="167"/>
      <c r="H142" s="168"/>
      <c r="I142" s="167"/>
      <c r="J142" s="168"/>
      <c r="K142" s="167"/>
      <c r="L142" s="168"/>
      <c r="M142" s="167"/>
      <c r="N142" s="168"/>
      <c r="O142" s="167"/>
      <c r="P142" s="168"/>
      <c r="Q142" s="167"/>
      <c r="R142" s="168"/>
      <c r="S142" s="167"/>
      <c r="T142" s="168"/>
      <c r="U142" s="169"/>
      <c r="V142" s="168"/>
      <c r="W142" s="169"/>
      <c r="X142" s="168"/>
      <c r="Y142" s="167"/>
      <c r="Z142" s="168"/>
      <c r="AA142" s="167"/>
      <c r="AB142" s="166"/>
      <c r="AC142" s="165"/>
      <c r="AD142" s="168"/>
      <c r="AE142" s="170"/>
      <c r="AF142" s="171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Y142" s="49"/>
      <c r="AZ142" s="49"/>
      <c r="BA142" s="49"/>
      <c r="BB142" s="49"/>
      <c r="BC142" s="49"/>
      <c r="BD142" s="49"/>
      <c r="BE142" s="49"/>
      <c r="BF142" s="49"/>
      <c r="BG142" s="49"/>
      <c r="BH142" s="49"/>
      <c r="BI142" s="49"/>
      <c r="BJ142" s="49"/>
      <c r="BK142" s="49"/>
      <c r="BL142" s="49"/>
      <c r="BM142" s="50" t="s">
        <v>362</v>
      </c>
      <c r="BN142" s="49"/>
      <c r="BO142" s="175" t="str">
        <f>IF(BO141="","",BN141)</f>
        <v/>
      </c>
      <c r="BP142" s="49" t="s">
        <v>362</v>
      </c>
      <c r="BQ142" s="49"/>
      <c r="BR142" s="50" t="s">
        <v>362</v>
      </c>
      <c r="BS142" s="49"/>
      <c r="BT142" s="175" t="str">
        <f>IF(BT141="","",BS141)</f>
        <v/>
      </c>
      <c r="BU142" s="49" t="s">
        <v>362</v>
      </c>
      <c r="BV142" s="49"/>
      <c r="BW142" s="49" t="s">
        <v>362</v>
      </c>
      <c r="BX142" s="49"/>
      <c r="BY142" s="160" t="str">
        <f>IF(BY141="","",BX141)</f>
        <v> </v>
      </c>
      <c r="BZ142" s="260" t="str">
        <f t="shared" si="34"/>
        <v> </v>
      </c>
      <c r="CA142" s="49"/>
      <c r="CB142" s="262" t="str">
        <f t="shared" si="35"/>
        <v>св</v>
      </c>
      <c r="CC142" s="49"/>
      <c r="CD142" s="49"/>
      <c r="CE142" s="49" t="s">
        <v>362</v>
      </c>
      <c r="CF142" s="49"/>
      <c r="CG142" s="180" t="str">
        <f>IF(CG141="","",CF141)</f>
        <v> </v>
      </c>
      <c r="CH142" s="49" t="s">
        <v>361</v>
      </c>
      <c r="CI142" s="49"/>
      <c r="CJ142" s="49" t="s">
        <v>362</v>
      </c>
      <c r="CK142" s="49"/>
      <c r="CL142" s="180" t="str">
        <f>IF(CL141="","",CK141)</f>
        <v> </v>
      </c>
      <c r="CM142" s="49" t="s">
        <v>361</v>
      </c>
      <c r="CN142" s="49"/>
      <c r="CO142" s="49" t="s">
        <v>362</v>
      </c>
      <c r="CP142" s="49"/>
      <c r="CQ142" s="180" t="str">
        <f>IF(CQ141="","",CP141)</f>
        <v> </v>
      </c>
      <c r="CR142" s="49" t="s">
        <v>361</v>
      </c>
      <c r="CS142" s="49"/>
      <c r="CT142" s="49" t="s">
        <v>362</v>
      </c>
      <c r="CU142" s="49"/>
      <c r="CV142" s="180" t="str">
        <f>IF(CV141="","",CU141)</f>
        <v> </v>
      </c>
      <c r="CW142" s="49" t="s">
        <v>361</v>
      </c>
      <c r="CX142" s="49"/>
      <c r="CY142" s="49" t="s">
        <v>362</v>
      </c>
      <c r="CZ142" s="49"/>
      <c r="DA142" s="180" t="str">
        <f>IF(DA141="","",CZ141)</f>
        <v> </v>
      </c>
      <c r="DB142" s="49" t="s">
        <v>361</v>
      </c>
      <c r="DC142" s="49"/>
      <c r="DD142" s="49" t="s">
        <v>362</v>
      </c>
      <c r="DE142" s="49"/>
      <c r="DF142" s="49"/>
      <c r="DG142" s="49"/>
      <c r="DH142" s="49"/>
    </row>
    <row r="143" ht="13.5" hidden="1" customHeight="1">
      <c r="A143" s="264"/>
      <c r="B143" s="126">
        <v>69.0</v>
      </c>
      <c r="C143" s="188" t="str">
        <f>(VLOOKUP($B143,'Пр.взв'!$D$6:$J$63,2,0))</f>
        <v>#N/A</v>
      </c>
      <c r="D143" s="189" t="str">
        <f>(VLOOKUP($B143,'Пр.взв'!$D$6:$J$63,5,0))</f>
        <v>#N/A</v>
      </c>
      <c r="E143" s="190" t="str">
        <f>(VLOOKUP($B143,'Пр.взв'!$D$6:$M$63,8,0))</f>
        <v>#N/A</v>
      </c>
      <c r="F143" s="130"/>
      <c r="G143" s="134"/>
      <c r="H143" s="132"/>
      <c r="I143" s="134"/>
      <c r="J143" s="133" t="str">
        <f>IF(H143="Х","Х",IF($AC143&lt;6," ","Х"))</f>
        <v> </v>
      </c>
      <c r="K143" s="134"/>
      <c r="L143" s="133" t="str">
        <f>IF(J143="Х","Х",IF(K143&lt;3," ",IF($AC143&lt;6," ","Х")))</f>
        <v> </v>
      </c>
      <c r="M143" s="134"/>
      <c r="N143" s="133" t="str">
        <f>IF(L143="Х","Х",IF(M143&lt;3," ",IF($AC143&lt;6," ","Х")))</f>
        <v> </v>
      </c>
      <c r="O143" s="134"/>
      <c r="P143" s="133" t="str">
        <f>IF(N143="Х","Х",IF(O143&lt;3," ",IF($AC143&lt;6," ","Х")))</f>
        <v> </v>
      </c>
      <c r="Q143" s="134"/>
      <c r="R143" s="133" t="str">
        <f>IF(P143="Х","Х",IF(Q143&lt;3," ",IF($AC143&lt;6," ","Х")))</f>
        <v> </v>
      </c>
      <c r="S143" s="134"/>
      <c r="T143" s="133" t="str">
        <f>IF(R143="Х","Х",IF(S143&lt;3," ",IF($AC143&lt;6," ","Х")))</f>
        <v> </v>
      </c>
      <c r="U143" s="135"/>
      <c r="V143" s="133" t="str">
        <f>IF(T143="Х","Х",IF(U143&lt;3," ",IF($AC143&lt;6," ","Х")))</f>
        <v> </v>
      </c>
      <c r="W143" s="135"/>
      <c r="X143" s="133" t="str">
        <f>IF(V143="А1",$AZ$7,IF(V143="Б2",$AZ$6,IF(V143="Б1",$BA$7,IF(V143="А2",$BA$6,IF(V143="Х","Х",IF(V143&lt;6," "," "))))))</f>
        <v> </v>
      </c>
      <c r="Y143" s="136"/>
      <c r="Z143" s="133" t="str">
        <f>IF(V143="Х","Х",IF(ISBLANK(Y143),"",IF(Y143&gt;2.5," ",IF(B143=BB$6,BB$7,BB$6))))</f>
        <v/>
      </c>
      <c r="AA143" s="136"/>
      <c r="AB143" s="240" t="str">
        <f>IF(H143="Х",F$5,IF(J143="Х",H$5,IF(L143="Х",J$5,IF(N143="Х",L$5,IF(P143="Х",N$5,IF(R143="Х",P$5,IF(T143="Х",R$5,IF(X143="Х",T$5,""))))))))</f>
        <v/>
      </c>
      <c r="AC143" s="138">
        <f>SUM(G143+I143+K143+M143+O143+Q143+S143+U143+Y143+AA143)</f>
        <v>0</v>
      </c>
      <c r="AD143" s="241" t="str">
        <f>AF143</f>
        <v>59-71</v>
      </c>
      <c r="AE143" s="140" t="str">
        <f>AD143</f>
        <v>59-71</v>
      </c>
      <c r="AF143" s="141" t="str">
        <f>COUNTIF(AG$6:AG$148,"&gt;"&amp;AG$6:AG$148)+1&amp;REPT("-"&amp;COUNTIF(AG$6:AG$148,"&gt;="&amp;AG$6:AG$148),COUNTIF(AG$6:AG$148,AG143)&gt;1)</f>
        <v>59-71</v>
      </c>
      <c r="AG143" s="142">
        <f>(AR143*100)+(AP143*10)-AC143</f>
        <v>80</v>
      </c>
      <c r="AH143" s="143" t="str">
        <f>IF(OR(F143="Х",F143="св")," ",IF(AND(G143&gt;=0,G143&lt;3),"1"," "))</f>
        <v>1</v>
      </c>
      <c r="AI143" s="90" t="str">
        <f>IF(OR(H143="Х",H143="св")," ",IF(AND(I143&gt;=0,I143&lt;3),"1"," "))</f>
        <v>1</v>
      </c>
      <c r="AJ143" s="90" t="str">
        <f>IF(OR(J143="Х",J143="св")," ",IF(AND(K143&gt;=0,K143&lt;3),"1"," "))</f>
        <v>1</v>
      </c>
      <c r="AK143" s="90" t="str">
        <f>IF(OR(L143="Х",L143="св")," ",IF(AND(M143&gt;=0,M143&lt;3),"1"," "))</f>
        <v>1</v>
      </c>
      <c r="AL143" s="90" t="str">
        <f>IF(OR(N143="Х",N143="св")," ",IF(AND(O143&gt;=0,O143&lt;3),"1"," "))</f>
        <v>1</v>
      </c>
      <c r="AM143" s="90" t="str">
        <f>IF(OR(P143="Х",P143="св")," ",IF(AND(Q143&gt;=0,Q143&lt;3),"1"," "))</f>
        <v>1</v>
      </c>
      <c r="AN143" s="90" t="str">
        <f>IF(OR(R143="Х",R143="св")," ",IF(AND(S143&gt;=0,S143&lt;3),"1"," "))</f>
        <v>1</v>
      </c>
      <c r="AO143" s="90" t="str">
        <f>IF(OR(T143="Х",T143="св")," ",IF(AND(U143&gt;=0,U143&lt;3),"1"," "))</f>
        <v>1</v>
      </c>
      <c r="AP143" s="90">
        <f>COUNTIF(AH143:AO144,1)</f>
        <v>8</v>
      </c>
      <c r="AQ143" s="90">
        <f>AG143-AC143</f>
        <v>80</v>
      </c>
      <c r="AR143" s="144">
        <f>IF(F143=0,0,IF(F143="Х",1,IF(H143="Х",2,IF(J143="Х",3,IF(L143="Х",4,IF(N143="Х",5,IF(P143="Х",6,IF(R143="Х",7,IF(T143="Х",8,IF(V143="Х",9,IF(Y143&gt;2.5,10,IF(AA143&gt;2.5,11,IF(AA143&gt;=0,12,IF(AA143=" ",0,))))))))))))))</f>
        <v>0</v>
      </c>
      <c r="AS143" s="90" t="str">
        <f>COUNTIF(AG$6:AG$134,"&gt;"&amp;AG$6:AG$134)+1&amp;REPT("-"&amp;COUNTIF(AG$6:AG$134,"&gt;="&amp;AG$6:AG$134),COUNTIF(AG$6:AG$134,AG143)&gt;1)</f>
        <v>1-0</v>
      </c>
      <c r="AT143" s="143" t="str">
        <f t="shared" ref="AT143:AW143" si="74">COUNTIF(AU$6:AU$134,"&gt;"&amp;AU$6:AU$134)+1&amp;REPT("-"&amp;COUNTIF(AU$6:AU$134,"&gt;="&amp;AU$6:AU$134),COUNTIF(AU$6:AU$134,AU143)&gt;1)</f>
        <v>1-0</v>
      </c>
      <c r="AU143" s="143" t="str">
        <f t="shared" si="74"/>
        <v>1-0</v>
      </c>
      <c r="AV143" s="143" t="str">
        <f t="shared" si="74"/>
        <v>1</v>
      </c>
      <c r="AW143" s="143" t="str">
        <f t="shared" si="74"/>
        <v>1</v>
      </c>
      <c r="AX143" s="145">
        <f>IF(X143="Х","Х",IF(Y143&lt;3,B143,"Х"))</f>
        <v>69</v>
      </c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50">
        <v>69.0</v>
      </c>
      <c r="BN143" s="49"/>
      <c r="BO143" s="153" t="str">
        <f>IF(BM143&lt;BN143,BM143,"")</f>
        <v/>
      </c>
      <c r="BP143" s="49" t="s">
        <v>362</v>
      </c>
      <c r="BQ143" s="49"/>
      <c r="BR143" s="50" t="s">
        <v>362</v>
      </c>
      <c r="BS143" s="49"/>
      <c r="BT143" s="175" t="str">
        <f>IF(BR143&lt;BS143,BR143,"")</f>
        <v/>
      </c>
      <c r="BU143" s="49" t="s">
        <v>362</v>
      </c>
      <c r="BV143" s="49"/>
      <c r="BW143" s="49">
        <v>69.0</v>
      </c>
      <c r="BX143" s="49" t="s">
        <v>361</v>
      </c>
      <c r="BY143" s="160">
        <f t="array" ref="BY143">IF(BW143&lt;BX143,BW143,"")</f>
        <v>69</v>
      </c>
      <c r="BZ143" s="160">
        <f t="shared" si="34"/>
        <v>69</v>
      </c>
      <c r="CA143" s="49"/>
      <c r="CB143" s="74" t="str">
        <f t="shared" si="35"/>
        <v>св</v>
      </c>
      <c r="CC143" s="49"/>
      <c r="CD143" s="49"/>
      <c r="CE143" s="49">
        <v>69.0</v>
      </c>
      <c r="CF143" s="49" t="s">
        <v>361</v>
      </c>
      <c r="CG143" s="153">
        <f t="array" ref="CG143">IF(CE143&lt;CF143,CE143,"")</f>
        <v>69</v>
      </c>
      <c r="CH143" s="49">
        <v>69.0</v>
      </c>
      <c r="CI143" s="49"/>
      <c r="CJ143" s="49">
        <v>69.0</v>
      </c>
      <c r="CK143" s="49" t="s">
        <v>361</v>
      </c>
      <c r="CL143" s="153">
        <f t="array" ref="CL143">IF(CJ143&lt;CK143,CJ143,"")</f>
        <v>69</v>
      </c>
      <c r="CM143" s="49">
        <v>69.0</v>
      </c>
      <c r="CN143" s="49"/>
      <c r="CO143" s="49">
        <v>69.0</v>
      </c>
      <c r="CP143" s="49" t="s">
        <v>361</v>
      </c>
      <c r="CQ143" s="153">
        <f t="array" ref="CQ143">IF(CO143&lt;CP143,CO143,"")</f>
        <v>69</v>
      </c>
      <c r="CR143" s="49">
        <v>69.0</v>
      </c>
      <c r="CS143" s="49"/>
      <c r="CT143" s="49">
        <v>69.0</v>
      </c>
      <c r="CU143" s="49" t="s">
        <v>361</v>
      </c>
      <c r="CV143" s="153">
        <f t="array" ref="CV143">IF(CT143&lt;CU143,CT143,"")</f>
        <v>69</v>
      </c>
      <c r="CW143" s="49">
        <v>69.0</v>
      </c>
      <c r="CX143" s="49"/>
      <c r="CY143" s="49">
        <v>69.0</v>
      </c>
      <c r="CZ143" s="49" t="s">
        <v>361</v>
      </c>
      <c r="DA143" s="153">
        <f t="array" ref="DA143">IF(CY143&lt;CZ143,CY143,"")</f>
        <v>69</v>
      </c>
      <c r="DB143" s="49">
        <v>69.0</v>
      </c>
      <c r="DC143" s="49"/>
      <c r="DD143" s="49">
        <v>69.0</v>
      </c>
      <c r="DE143" s="49"/>
      <c r="DF143" s="49"/>
      <c r="DG143" s="49"/>
      <c r="DH143" s="49"/>
    </row>
    <row r="144" ht="13.5" hidden="1" customHeight="1">
      <c r="A144" s="264"/>
      <c r="B144" s="165"/>
      <c r="C144" s="165"/>
      <c r="D144" s="165"/>
      <c r="E144" s="165"/>
      <c r="F144" s="166"/>
      <c r="G144" s="167"/>
      <c r="H144" s="168"/>
      <c r="I144" s="167"/>
      <c r="J144" s="168"/>
      <c r="K144" s="167"/>
      <c r="L144" s="168"/>
      <c r="M144" s="167"/>
      <c r="N144" s="168"/>
      <c r="O144" s="167"/>
      <c r="P144" s="168"/>
      <c r="Q144" s="167"/>
      <c r="R144" s="168"/>
      <c r="S144" s="167"/>
      <c r="T144" s="168"/>
      <c r="U144" s="169"/>
      <c r="V144" s="168"/>
      <c r="W144" s="169"/>
      <c r="X144" s="168"/>
      <c r="Y144" s="167"/>
      <c r="Z144" s="168"/>
      <c r="AA144" s="167"/>
      <c r="AB144" s="166"/>
      <c r="AC144" s="165"/>
      <c r="AD144" s="168"/>
      <c r="AE144" s="170"/>
      <c r="AF144" s="171"/>
      <c r="AG144" s="113"/>
      <c r="AH144" s="113"/>
      <c r="AI144" s="113"/>
      <c r="AJ144" s="113"/>
      <c r="AK144" s="113"/>
      <c r="AL144" s="113"/>
      <c r="AM144" s="113"/>
      <c r="AN144" s="113"/>
      <c r="AO144" s="113"/>
      <c r="AP144" s="113"/>
      <c r="AQ144" s="113"/>
      <c r="AR144" s="113"/>
      <c r="AS144" s="113"/>
      <c r="AT144" s="113"/>
      <c r="AU144" s="113"/>
      <c r="AV144" s="113"/>
      <c r="AW144" s="113"/>
      <c r="AY144" s="49"/>
      <c r="AZ144" s="49"/>
      <c r="BA144" s="49"/>
      <c r="BB144" s="49"/>
      <c r="BC144" s="49"/>
      <c r="BD144" s="49"/>
      <c r="BE144" s="49"/>
      <c r="BF144" s="49"/>
      <c r="BG144" s="49"/>
      <c r="BH144" s="49"/>
      <c r="BI144" s="49"/>
      <c r="BJ144" s="49"/>
      <c r="BK144" s="49"/>
      <c r="BL144" s="49"/>
      <c r="BM144" s="50" t="s">
        <v>362</v>
      </c>
      <c r="BN144" s="49"/>
      <c r="BO144" s="175" t="str">
        <f>IF(BO143="","",BN143)</f>
        <v/>
      </c>
      <c r="BP144" s="49" t="s">
        <v>362</v>
      </c>
      <c r="BQ144" s="49"/>
      <c r="BR144" s="50" t="s">
        <v>362</v>
      </c>
      <c r="BS144" s="49"/>
      <c r="BT144" s="175" t="str">
        <f>IF(BT143="","",BS143)</f>
        <v/>
      </c>
      <c r="BU144" s="49" t="s">
        <v>362</v>
      </c>
      <c r="BV144" s="49"/>
      <c r="BW144" s="49" t="s">
        <v>362</v>
      </c>
      <c r="BX144" s="49"/>
      <c r="BY144" s="160" t="str">
        <f>IF(BY143="","",BX143)</f>
        <v> </v>
      </c>
      <c r="BZ144" s="260" t="str">
        <f t="shared" si="34"/>
        <v> </v>
      </c>
      <c r="CA144" s="49"/>
      <c r="CB144" s="262" t="str">
        <f t="shared" si="35"/>
        <v>св</v>
      </c>
      <c r="CC144" s="49"/>
      <c r="CD144" s="49"/>
      <c r="CE144" s="49" t="s">
        <v>362</v>
      </c>
      <c r="CF144" s="49"/>
      <c r="CG144" s="180" t="str">
        <f>IF(CG143="","",CF143)</f>
        <v> </v>
      </c>
      <c r="CH144" s="49" t="s">
        <v>361</v>
      </c>
      <c r="CI144" s="49"/>
      <c r="CJ144" s="49" t="s">
        <v>362</v>
      </c>
      <c r="CK144" s="49"/>
      <c r="CL144" s="180" t="str">
        <f>IF(CL143="","",CK143)</f>
        <v> </v>
      </c>
      <c r="CM144" s="49" t="s">
        <v>361</v>
      </c>
      <c r="CN144" s="49"/>
      <c r="CO144" s="49" t="s">
        <v>362</v>
      </c>
      <c r="CP144" s="49"/>
      <c r="CQ144" s="180" t="str">
        <f>IF(CQ143="","",CP143)</f>
        <v> </v>
      </c>
      <c r="CR144" s="49" t="s">
        <v>361</v>
      </c>
      <c r="CS144" s="49"/>
      <c r="CT144" s="49" t="s">
        <v>362</v>
      </c>
      <c r="CU144" s="49"/>
      <c r="CV144" s="180" t="str">
        <f>IF(CV143="","",CU143)</f>
        <v> </v>
      </c>
      <c r="CW144" s="49" t="s">
        <v>361</v>
      </c>
      <c r="CX144" s="49"/>
      <c r="CY144" s="49" t="s">
        <v>362</v>
      </c>
      <c r="CZ144" s="49"/>
      <c r="DA144" s="180" t="str">
        <f>IF(DA143="","",CZ143)</f>
        <v> </v>
      </c>
      <c r="DB144" s="49" t="s">
        <v>361</v>
      </c>
      <c r="DC144" s="49"/>
      <c r="DD144" s="49" t="s">
        <v>362</v>
      </c>
      <c r="DE144" s="49"/>
      <c r="DF144" s="49"/>
      <c r="DG144" s="49"/>
      <c r="DH144" s="49"/>
    </row>
    <row r="145" ht="13.5" hidden="1" customHeight="1">
      <c r="A145" s="264"/>
      <c r="B145" s="126">
        <v>70.0</v>
      </c>
      <c r="C145" s="188" t="str">
        <f>(VLOOKUP($B145,'Пр.взв'!$D$6:$J$63,2,0))</f>
        <v>#N/A</v>
      </c>
      <c r="D145" s="189" t="str">
        <f>(VLOOKUP($B145,'Пр.взв'!$D$6:$J$63,5,0))</f>
        <v>#N/A</v>
      </c>
      <c r="E145" s="190" t="str">
        <f>(VLOOKUP($B145,'Пр.взв'!$D$6:$M$63,8,0))</f>
        <v>#N/A</v>
      </c>
      <c r="F145" s="130"/>
      <c r="G145" s="134"/>
      <c r="H145" s="132"/>
      <c r="I145" s="134"/>
      <c r="J145" s="133" t="str">
        <f>IF(H145="Х","Х",IF($AC145&lt;6," ","Х"))</f>
        <v> </v>
      </c>
      <c r="K145" s="134"/>
      <c r="L145" s="133" t="str">
        <f>IF(J145="Х","Х",IF(K145&lt;3," ",IF($AC145&lt;6," ","Х")))</f>
        <v> </v>
      </c>
      <c r="M145" s="134"/>
      <c r="N145" s="133" t="str">
        <f>IF(L145="Х","Х",IF(M145&lt;3," ",IF($AC145&lt;6," ","Х")))</f>
        <v> </v>
      </c>
      <c r="O145" s="134"/>
      <c r="P145" s="133" t="str">
        <f>IF(N145="Х","Х",IF(O145&lt;3," ",IF($AC145&lt;6," ","Х")))</f>
        <v> </v>
      </c>
      <c r="Q145" s="134"/>
      <c r="R145" s="133" t="str">
        <f>IF(P145="Х","Х",IF(Q145&lt;3," ",IF($AC145&lt;6," ","Х")))</f>
        <v> </v>
      </c>
      <c r="S145" s="134"/>
      <c r="T145" s="133" t="str">
        <f>IF(R145="Х","Х",IF(S145&lt;3," ",IF($AC145&lt;6," ","Х")))</f>
        <v> </v>
      </c>
      <c r="U145" s="135"/>
      <c r="V145" s="133" t="str">
        <f>IF(T145="Х","Х",IF(U145&lt;3," ",IF($AC145&lt;6," ","Х")))</f>
        <v> </v>
      </c>
      <c r="W145" s="135"/>
      <c r="X145" s="133" t="str">
        <f>IF(V145="А1",$AZ$7,IF(V145="Б2",$AZ$6,IF(V145="Б1",$BA$7,IF(V145="А2",$BA$6,IF(V145="Х","Х",IF(V145&lt;6," "," "))))))</f>
        <v> </v>
      </c>
      <c r="Y145" s="136"/>
      <c r="Z145" s="133" t="str">
        <f>IF(V145="Х","Х",IF(ISBLANK(Y145),"",IF(Y145&gt;2.5," ",IF(B145=BB$6,BB$7,BB$6))))</f>
        <v/>
      </c>
      <c r="AA145" s="136"/>
      <c r="AB145" s="240" t="str">
        <f>IF(H145="Х",F$5,IF(J145="Х",H$5,IF(L145="Х",J$5,IF(N145="Х",L$5,IF(P145="Х",N$5,IF(R145="Х",P$5,IF(T145="Х",R$5,IF(X145="Х",T$5,""))))))))</f>
        <v/>
      </c>
      <c r="AC145" s="138">
        <f>SUM(G145+I145+K145+M145+O145+Q145+S145+U145+Y145+AA145)</f>
        <v>0</v>
      </c>
      <c r="AD145" s="241" t="str">
        <f>AF145</f>
        <v>59-71</v>
      </c>
      <c r="AE145" s="140" t="str">
        <f>AD145</f>
        <v>59-71</v>
      </c>
      <c r="AF145" s="141" t="str">
        <f>COUNTIF(AG$6:AG$148,"&gt;"&amp;AG$6:AG$148)+1&amp;REPT("-"&amp;COUNTIF(AG$6:AG$148,"&gt;="&amp;AG$6:AG$148),COUNTIF(AG$6:AG$148,AG145)&gt;1)</f>
        <v>59-71</v>
      </c>
      <c r="AG145" s="142">
        <f>(AR145*100)+(AP145*10)-AC145</f>
        <v>80</v>
      </c>
      <c r="AH145" s="143" t="str">
        <f>IF(OR(F145="Х",F145="св")," ",IF(AND(G145&gt;=0,G145&lt;3),"1"," "))</f>
        <v>1</v>
      </c>
      <c r="AI145" s="90" t="str">
        <f>IF(OR(H145="Х",H145="св")," ",IF(AND(I145&gt;=0,I145&lt;3),"1"," "))</f>
        <v>1</v>
      </c>
      <c r="AJ145" s="90" t="str">
        <f>IF(OR(J145="Х",J145="св")," ",IF(AND(K145&gt;=0,K145&lt;3),"1"," "))</f>
        <v>1</v>
      </c>
      <c r="AK145" s="90" t="str">
        <f>IF(OR(L145="Х",L145="св")," ",IF(AND(M145&gt;=0,M145&lt;3),"1"," "))</f>
        <v>1</v>
      </c>
      <c r="AL145" s="90" t="str">
        <f>IF(OR(N145="Х",N145="св")," ",IF(AND(O145&gt;=0,O145&lt;3),"1"," "))</f>
        <v>1</v>
      </c>
      <c r="AM145" s="90" t="str">
        <f>IF(OR(P145="Х",P145="св")," ",IF(AND(Q145&gt;=0,Q145&lt;3),"1"," "))</f>
        <v>1</v>
      </c>
      <c r="AN145" s="90" t="str">
        <f>IF(OR(R145="Х",R145="св")," ",IF(AND(S145&gt;=0,S145&lt;3),"1"," "))</f>
        <v>1</v>
      </c>
      <c r="AO145" s="90" t="str">
        <f>IF(OR(T145="Х",T145="св")," ",IF(AND(U145&gt;=0,U145&lt;3),"1"," "))</f>
        <v>1</v>
      </c>
      <c r="AP145" s="90">
        <f>COUNTIF(AH145:AO146,1)</f>
        <v>8</v>
      </c>
      <c r="AQ145" s="90">
        <f>AG145-AC145</f>
        <v>80</v>
      </c>
      <c r="AR145" s="144">
        <f>IF(F145=0,0,IF(F145="Х",1,IF(H145="Х",2,IF(J145="Х",3,IF(L145="Х",4,IF(N145="Х",5,IF(P145="Х",6,IF(R145="Х",7,IF(T145="Х",8,IF(V145="Х",9,IF(Y145&gt;2.5,10,IF(AA145&gt;2.5,11,IF(AA145&gt;=0,12,IF(AA145=" ",0,))))))))))))))</f>
        <v>0</v>
      </c>
      <c r="AS145" s="90" t="str">
        <f>COUNTIF(AG$6:AG$134,"&gt;"&amp;AG$6:AG$134)+1&amp;REPT("-"&amp;COUNTIF(AG$6:AG$134,"&gt;="&amp;AG$6:AG$134),COUNTIF(AG$6:AG$134,AG145)&gt;1)</f>
        <v>1-0</v>
      </c>
      <c r="AT145" s="143" t="str">
        <f t="shared" ref="AT145:AW145" si="75">COUNTIF(AU$6:AU$134,"&gt;"&amp;AU$6:AU$134)+1&amp;REPT("-"&amp;COUNTIF(AU$6:AU$134,"&gt;="&amp;AU$6:AU$134),COUNTIF(AU$6:AU$134,AU145)&gt;1)</f>
        <v>1-0</v>
      </c>
      <c r="AU145" s="143" t="str">
        <f t="shared" si="75"/>
        <v>1-0</v>
      </c>
      <c r="AV145" s="143" t="str">
        <f t="shared" si="75"/>
        <v>1</v>
      </c>
      <c r="AW145" s="143" t="str">
        <f t="shared" si="75"/>
        <v>1</v>
      </c>
      <c r="AX145" s="145">
        <f>IF(X145="Х","Х",IF(Y145&lt;3,B145,"Х"))</f>
        <v>70</v>
      </c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  <c r="BM145" s="50">
        <v>70.0</v>
      </c>
      <c r="BN145" s="49"/>
      <c r="BO145" s="153" t="str">
        <f>IF(BM145&lt;BN145,BM145,"")</f>
        <v/>
      </c>
      <c r="BP145" s="49" t="s">
        <v>362</v>
      </c>
      <c r="BQ145" s="49"/>
      <c r="BR145" s="50" t="s">
        <v>362</v>
      </c>
      <c r="BS145" s="49"/>
      <c r="BT145" s="175" t="str">
        <f>IF(BR145&lt;BS145,BR145,"")</f>
        <v/>
      </c>
      <c r="BU145" s="49" t="s">
        <v>362</v>
      </c>
      <c r="BV145" s="49"/>
      <c r="BW145" s="49">
        <v>70.0</v>
      </c>
      <c r="BX145" s="49" t="s">
        <v>361</v>
      </c>
      <c r="BY145" s="160">
        <f t="array" ref="BY145">IF(BW145&lt;BX145,BW145,"")</f>
        <v>70</v>
      </c>
      <c r="BZ145" s="160">
        <f t="shared" si="34"/>
        <v>70</v>
      </c>
      <c r="CA145" s="49"/>
      <c r="CB145" s="74" t="str">
        <f t="shared" si="35"/>
        <v>св</v>
      </c>
      <c r="CC145" s="49"/>
      <c r="CD145" s="49"/>
      <c r="CE145" s="49">
        <v>70.0</v>
      </c>
      <c r="CF145" s="49" t="s">
        <v>361</v>
      </c>
      <c r="CG145" s="153">
        <f t="array" ref="CG145">IF(CE145&lt;CF145,CE145,"")</f>
        <v>70</v>
      </c>
      <c r="CH145" s="49">
        <v>70.0</v>
      </c>
      <c r="CI145" s="49"/>
      <c r="CJ145" s="49">
        <v>70.0</v>
      </c>
      <c r="CK145" s="49" t="s">
        <v>361</v>
      </c>
      <c r="CL145" s="153">
        <f t="array" ref="CL145">IF(CJ145&lt;CK145,CJ145,"")</f>
        <v>70</v>
      </c>
      <c r="CM145" s="49">
        <v>70.0</v>
      </c>
      <c r="CN145" s="49"/>
      <c r="CO145" s="49">
        <v>70.0</v>
      </c>
      <c r="CP145" s="49" t="s">
        <v>361</v>
      </c>
      <c r="CQ145" s="153">
        <f t="array" ref="CQ145">IF(CO145&lt;CP145,CO145,"")</f>
        <v>70</v>
      </c>
      <c r="CR145" s="49">
        <v>70.0</v>
      </c>
      <c r="CS145" s="49"/>
      <c r="CT145" s="49">
        <v>70.0</v>
      </c>
      <c r="CU145" s="49" t="s">
        <v>361</v>
      </c>
      <c r="CV145" s="153">
        <f t="array" ref="CV145">IF(CT145&lt;CU145,CT145,"")</f>
        <v>70</v>
      </c>
      <c r="CW145" s="49">
        <v>70.0</v>
      </c>
      <c r="CX145" s="49"/>
      <c r="CY145" s="49">
        <v>70.0</v>
      </c>
      <c r="CZ145" s="49" t="s">
        <v>361</v>
      </c>
      <c r="DA145" s="153">
        <f t="array" ref="DA145">IF(CY145&lt;CZ145,CY145,"")</f>
        <v>70</v>
      </c>
      <c r="DB145" s="49">
        <v>70.0</v>
      </c>
      <c r="DC145" s="49"/>
      <c r="DD145" s="49">
        <v>70.0</v>
      </c>
      <c r="DE145" s="49"/>
      <c r="DF145" s="49"/>
      <c r="DG145" s="49"/>
      <c r="DH145" s="49"/>
    </row>
    <row r="146" ht="13.5" hidden="1" customHeight="1">
      <c r="A146" s="264"/>
      <c r="B146" s="165"/>
      <c r="C146" s="165"/>
      <c r="D146" s="165"/>
      <c r="E146" s="165"/>
      <c r="F146" s="166"/>
      <c r="G146" s="167"/>
      <c r="H146" s="168"/>
      <c r="I146" s="167"/>
      <c r="J146" s="168"/>
      <c r="K146" s="167"/>
      <c r="L146" s="168"/>
      <c r="M146" s="167"/>
      <c r="N146" s="168"/>
      <c r="O146" s="167"/>
      <c r="P146" s="168"/>
      <c r="Q146" s="167"/>
      <c r="R146" s="168"/>
      <c r="S146" s="167"/>
      <c r="T146" s="168"/>
      <c r="U146" s="169"/>
      <c r="V146" s="168"/>
      <c r="W146" s="169"/>
      <c r="X146" s="168"/>
      <c r="Y146" s="167"/>
      <c r="Z146" s="168"/>
      <c r="AA146" s="167"/>
      <c r="AB146" s="166"/>
      <c r="AC146" s="165"/>
      <c r="AD146" s="168"/>
      <c r="AE146" s="170"/>
      <c r="AF146" s="171"/>
      <c r="AG146" s="113"/>
      <c r="AH146" s="113"/>
      <c r="AI146" s="113"/>
      <c r="AJ146" s="113"/>
      <c r="AK146" s="113"/>
      <c r="AL146" s="113"/>
      <c r="AM146" s="113"/>
      <c r="AN146" s="113"/>
      <c r="AO146" s="113"/>
      <c r="AP146" s="113"/>
      <c r="AQ146" s="113"/>
      <c r="AR146" s="113"/>
      <c r="AS146" s="113"/>
      <c r="AT146" s="113"/>
      <c r="AU146" s="113"/>
      <c r="AV146" s="113"/>
      <c r="AW146" s="113"/>
      <c r="AY146" s="49"/>
      <c r="AZ146" s="49"/>
      <c r="BA146" s="49"/>
      <c r="BB146" s="49"/>
      <c r="BC146" s="49"/>
      <c r="BD146" s="49"/>
      <c r="BE146" s="49"/>
      <c r="BF146" s="49"/>
      <c r="BG146" s="49"/>
      <c r="BH146" s="49"/>
      <c r="BI146" s="49"/>
      <c r="BJ146" s="49"/>
      <c r="BK146" s="49"/>
      <c r="BL146" s="49"/>
      <c r="BM146" s="50" t="s">
        <v>362</v>
      </c>
      <c r="BN146" s="49"/>
      <c r="BO146" s="175" t="str">
        <f>IF(BO145="","",BN145)</f>
        <v/>
      </c>
      <c r="BP146" s="49" t="s">
        <v>362</v>
      </c>
      <c r="BQ146" s="49"/>
      <c r="BR146" s="50" t="s">
        <v>362</v>
      </c>
      <c r="BS146" s="49"/>
      <c r="BT146" s="175" t="str">
        <f>IF(BT145="","",BS145)</f>
        <v/>
      </c>
      <c r="BU146" s="49" t="s">
        <v>362</v>
      </c>
      <c r="BV146" s="49"/>
      <c r="BW146" s="49" t="s">
        <v>362</v>
      </c>
      <c r="BX146" s="49"/>
      <c r="BY146" s="160" t="str">
        <f>IF(BY145="","",BX145)</f>
        <v> </v>
      </c>
      <c r="BZ146" s="260" t="str">
        <f t="shared" si="34"/>
        <v> </v>
      </c>
      <c r="CA146" s="49"/>
      <c r="CB146" s="262" t="str">
        <f t="shared" si="35"/>
        <v>св</v>
      </c>
      <c r="CC146" s="49"/>
      <c r="CD146" s="49"/>
      <c r="CE146" s="49" t="s">
        <v>362</v>
      </c>
      <c r="CF146" s="49"/>
      <c r="CG146" s="180" t="str">
        <f>IF(CG145="","",CF145)</f>
        <v> </v>
      </c>
      <c r="CH146" s="49" t="s">
        <v>361</v>
      </c>
      <c r="CI146" s="49"/>
      <c r="CJ146" s="49" t="s">
        <v>362</v>
      </c>
      <c r="CK146" s="49"/>
      <c r="CL146" s="180" t="str">
        <f>IF(CL145="","",CK145)</f>
        <v> </v>
      </c>
      <c r="CM146" s="49" t="s">
        <v>361</v>
      </c>
      <c r="CN146" s="49"/>
      <c r="CO146" s="49" t="s">
        <v>362</v>
      </c>
      <c r="CP146" s="49"/>
      <c r="CQ146" s="180" t="str">
        <f>IF(CQ145="","",CP145)</f>
        <v> </v>
      </c>
      <c r="CR146" s="49" t="s">
        <v>361</v>
      </c>
      <c r="CS146" s="49"/>
      <c r="CT146" s="49" t="s">
        <v>362</v>
      </c>
      <c r="CU146" s="49"/>
      <c r="CV146" s="180" t="str">
        <f>IF(CV145="","",CU145)</f>
        <v> </v>
      </c>
      <c r="CW146" s="49" t="s">
        <v>361</v>
      </c>
      <c r="CX146" s="49"/>
      <c r="CY146" s="49" t="s">
        <v>362</v>
      </c>
      <c r="CZ146" s="49"/>
      <c r="DA146" s="180" t="str">
        <f>IF(DA145="","",CZ145)</f>
        <v> </v>
      </c>
      <c r="DB146" s="49" t="s">
        <v>361</v>
      </c>
      <c r="DC146" s="49"/>
      <c r="DD146" s="49" t="s">
        <v>362</v>
      </c>
      <c r="DE146" s="49"/>
      <c r="DF146" s="49"/>
      <c r="DG146" s="49"/>
      <c r="DH146" s="49"/>
    </row>
    <row r="147" ht="13.5" hidden="1" customHeight="1">
      <c r="A147" s="264"/>
      <c r="B147" s="126">
        <v>71.0</v>
      </c>
      <c r="C147" s="188" t="str">
        <f>(VLOOKUP($B147,'Пр.взв'!$D$6:$J$63,2,0))</f>
        <v>#N/A</v>
      </c>
      <c r="D147" s="189" t="str">
        <f>(VLOOKUP($B147,'Пр.взв'!$D$6:$J$63,5,0))</f>
        <v>#N/A</v>
      </c>
      <c r="E147" s="190" t="str">
        <f>(VLOOKUP($B147,'Пр.взв'!$D$6:$M$63,8,0))</f>
        <v>#N/A</v>
      </c>
      <c r="F147" s="130"/>
      <c r="G147" s="134"/>
      <c r="H147" s="132"/>
      <c r="I147" s="134"/>
      <c r="J147" s="133" t="str">
        <f>IF(H147="Х","Х",IF($AC147&lt;6," ","Х"))</f>
        <v> </v>
      </c>
      <c r="K147" s="134"/>
      <c r="L147" s="133" t="str">
        <f>IF(J147="Х","Х",IF(K147&lt;3," ",IF($AC147&lt;6," ","Х")))</f>
        <v> </v>
      </c>
      <c r="M147" s="134"/>
      <c r="N147" s="133" t="str">
        <f>IF(L147="Х","Х",IF(M147&lt;3," ",IF($AC147&lt;6," ","Х")))</f>
        <v> </v>
      </c>
      <c r="O147" s="134"/>
      <c r="P147" s="133" t="str">
        <f>IF(N147="Х","Х",IF(O147&lt;3," ",IF($AC147&lt;6," ","Х")))</f>
        <v> </v>
      </c>
      <c r="Q147" s="134"/>
      <c r="R147" s="133" t="str">
        <f>IF(P147="Х","Х",IF(Q147&lt;3," ",IF($AC147&lt;6," ","Х")))</f>
        <v> </v>
      </c>
      <c r="S147" s="134"/>
      <c r="T147" s="133" t="str">
        <f>IF(R147="Х","Х",IF(S147&lt;3," ",IF($AC147&lt;6," ","Х")))</f>
        <v> </v>
      </c>
      <c r="U147" s="135"/>
      <c r="V147" s="133" t="str">
        <f>IF(T147="Х","Х",IF(U147&lt;3," ",IF($AC147&lt;6," ","Х")))</f>
        <v> </v>
      </c>
      <c r="W147" s="135"/>
      <c r="X147" s="133" t="str">
        <f>IF(V147="А1",$AZ$7,IF(V147="Б2",$AZ$6,IF(V147="Б1",$BA$7,IF(V147="А2",$BA$6,IF(V147="Х","Х",IF(V147&lt;6," "," "))))))</f>
        <v> </v>
      </c>
      <c r="Y147" s="136"/>
      <c r="Z147" s="133" t="str">
        <f>IF(V147="Х","Х",IF(ISBLANK(Y147),"",IF(Y147&gt;2.5," ",IF(B147=BB$6,BB$7,BB$6))))</f>
        <v/>
      </c>
      <c r="AA147" s="136"/>
      <c r="AB147" s="240" t="str">
        <f>IF(H147="Х",F$5,IF(J147="Х",H$5,IF(L147="Х",J$5,IF(N147="Х",L$5,IF(P147="Х",N$5,IF(R147="Х",P$5,IF(T147="Х",R$5,IF(X147="Х",T$5,""))))))))</f>
        <v/>
      </c>
      <c r="AC147" s="138">
        <f>SUM(G147+I147+K147+M147+O147+Q147+S147+U147+Y147+AA147)</f>
        <v>0</v>
      </c>
      <c r="AD147" s="241" t="str">
        <f>AF147</f>
        <v>59-71</v>
      </c>
      <c r="AE147" s="140" t="str">
        <f>AD147</f>
        <v>59-71</v>
      </c>
      <c r="AF147" s="141" t="str">
        <f>COUNTIF(AG$6:AG$148,"&gt;"&amp;AG$6:AG$148)+1&amp;REPT("-"&amp;COUNTIF(AG$6:AG$148,"&gt;="&amp;AG$6:AG$148),COUNTIF(AG$6:AG$148,AG147)&gt;1)</f>
        <v>59-71</v>
      </c>
      <c r="AG147" s="142">
        <f>(AR147*100)+(AP147*10)-AC147</f>
        <v>80</v>
      </c>
      <c r="AH147" s="143" t="str">
        <f>IF(OR(F147="Х",F147="св")," ",IF(AND(G147&gt;=0,G147&lt;3),"1"," "))</f>
        <v>1</v>
      </c>
      <c r="AI147" s="90" t="str">
        <f>IF(OR(H147="Х",H147="св")," ",IF(AND(I147&gt;=0,I147&lt;3),"1"," "))</f>
        <v>1</v>
      </c>
      <c r="AJ147" s="90" t="str">
        <f>IF(OR(J147="Х",J147="св")," ",IF(AND(K147&gt;=0,K147&lt;3),"1"," "))</f>
        <v>1</v>
      </c>
      <c r="AK147" s="90" t="str">
        <f>IF(OR(L147="Х",L147="св")," ",IF(AND(M147&gt;=0,M147&lt;3),"1"," "))</f>
        <v>1</v>
      </c>
      <c r="AL147" s="90" t="str">
        <f>IF(OR(N147="Х",N147="св")," ",IF(AND(O147&gt;=0,O147&lt;3),"1"," "))</f>
        <v>1</v>
      </c>
      <c r="AM147" s="90" t="str">
        <f>IF(OR(P147="Х",P147="св")," ",IF(AND(Q147&gt;=0,Q147&lt;3),"1"," "))</f>
        <v>1</v>
      </c>
      <c r="AN147" s="90" t="str">
        <f>IF(OR(R147="Х",R147="св")," ",IF(AND(S147&gt;=0,S147&lt;3),"1"," "))</f>
        <v>1</v>
      </c>
      <c r="AO147" s="90" t="str">
        <f>IF(OR(T147="Х",T147="св")," ",IF(AND(U147&gt;=0,U147&lt;3),"1"," "))</f>
        <v>1</v>
      </c>
      <c r="AP147" s="90">
        <f>COUNTIF(AH147:AO148,1)</f>
        <v>8</v>
      </c>
      <c r="AQ147" s="90">
        <f>AG147-AC147</f>
        <v>80</v>
      </c>
      <c r="AR147" s="144">
        <f>IF(F147=0,0,IF(F147="Х",1,IF(H147="Х",2,IF(J147="Х",3,IF(L147="Х",4,IF(N147="Х",5,IF(P147="Х",6,IF(R147="Х",7,IF(T147="Х",8,IF(V147="Х",9,IF(Y147&gt;2.5,10,IF(AA147&gt;2.5,11,IF(AA147&gt;=0,12,IF(AA147=" ",0,))))))))))))))</f>
        <v>0</v>
      </c>
      <c r="AS147" s="90" t="str">
        <f>COUNTIF(AG$6:AG$134,"&gt;"&amp;AG$6:AG$134)+1&amp;REPT("-"&amp;COUNTIF(AG$6:AG$134,"&gt;="&amp;AG$6:AG$134),COUNTIF(AG$6:AG$134,AG147)&gt;1)</f>
        <v>1-0</v>
      </c>
      <c r="AT147" s="143" t="str">
        <f t="shared" ref="AT147:AW147" si="76">COUNTIF(AU$6:AU$134,"&gt;"&amp;AU$6:AU$134)+1&amp;REPT("-"&amp;COUNTIF(AU$6:AU$134,"&gt;="&amp;AU$6:AU$134),COUNTIF(AU$6:AU$134,AU147)&gt;1)</f>
        <v>1-0</v>
      </c>
      <c r="AU147" s="143" t="str">
        <f t="shared" si="76"/>
        <v>1-0</v>
      </c>
      <c r="AV147" s="143" t="str">
        <f t="shared" si="76"/>
        <v>1</v>
      </c>
      <c r="AW147" s="143" t="str">
        <f t="shared" si="76"/>
        <v>1</v>
      </c>
      <c r="AX147" s="145">
        <f>IF(X147="Х","Х",IF(Y147&lt;3,B147,"Х"))</f>
        <v>71</v>
      </c>
      <c r="AY147" s="49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9"/>
      <c r="BL147" s="49"/>
      <c r="BM147" s="50">
        <v>71.0</v>
      </c>
      <c r="BN147" s="49"/>
      <c r="BO147" s="153" t="str">
        <f>IF(BM147&lt;BN147,BM147,"")</f>
        <v/>
      </c>
      <c r="BP147" s="49" t="s">
        <v>362</v>
      </c>
      <c r="BQ147" s="49"/>
      <c r="BR147" s="50" t="s">
        <v>362</v>
      </c>
      <c r="BS147" s="49"/>
      <c r="BT147" s="175" t="str">
        <f>IF(BR147&lt;BS147,BR147,"")</f>
        <v/>
      </c>
      <c r="BU147" s="49" t="s">
        <v>362</v>
      </c>
      <c r="BV147" s="49"/>
      <c r="BW147" s="49">
        <v>71.0</v>
      </c>
      <c r="BX147" s="49" t="s">
        <v>361</v>
      </c>
      <c r="BY147" s="160">
        <f t="array" ref="BY147">IF(BW147&lt;BX147,BW147,"")</f>
        <v>71</v>
      </c>
      <c r="BZ147" s="160">
        <f t="shared" si="34"/>
        <v>71</v>
      </c>
      <c r="CA147" s="49"/>
      <c r="CB147" s="74" t="str">
        <f t="shared" si="35"/>
        <v>св</v>
      </c>
      <c r="CC147" s="49"/>
      <c r="CD147" s="49"/>
      <c r="CE147" s="49">
        <v>71.0</v>
      </c>
      <c r="CF147" s="49" t="s">
        <v>361</v>
      </c>
      <c r="CG147" s="153">
        <f t="array" ref="CG147">IF(CE147&lt;CF147,CE147,"")</f>
        <v>71</v>
      </c>
      <c r="CH147" s="49">
        <v>71.0</v>
      </c>
      <c r="CI147" s="49"/>
      <c r="CJ147" s="49">
        <v>71.0</v>
      </c>
      <c r="CK147" s="49" t="s">
        <v>361</v>
      </c>
      <c r="CL147" s="153">
        <f t="array" ref="CL147">IF(CJ147&lt;CK147,CJ147,"")</f>
        <v>71</v>
      </c>
      <c r="CM147" s="49">
        <v>71.0</v>
      </c>
      <c r="CN147" s="49"/>
      <c r="CO147" s="49">
        <v>71.0</v>
      </c>
      <c r="CP147" s="49" t="s">
        <v>361</v>
      </c>
      <c r="CQ147" s="153">
        <f t="array" ref="CQ147">IF(CO147&lt;CP147,CO147,"")</f>
        <v>71</v>
      </c>
      <c r="CR147" s="49">
        <v>71.0</v>
      </c>
      <c r="CS147" s="49"/>
      <c r="CT147" s="49">
        <v>71.0</v>
      </c>
      <c r="CU147" s="49" t="s">
        <v>361</v>
      </c>
      <c r="CV147" s="153">
        <f t="array" ref="CV147">IF(CT147&lt;CU147,CT147,"")</f>
        <v>71</v>
      </c>
      <c r="CW147" s="49">
        <v>71.0</v>
      </c>
      <c r="CX147" s="49"/>
      <c r="CY147" s="49">
        <v>71.0</v>
      </c>
      <c r="CZ147" s="49" t="s">
        <v>361</v>
      </c>
      <c r="DA147" s="153">
        <f t="array" ref="DA147">IF(CY147&lt;CZ147,CY147,"")</f>
        <v>71</v>
      </c>
      <c r="DB147" s="49">
        <v>71.0</v>
      </c>
      <c r="DC147" s="49"/>
      <c r="DD147" s="49">
        <v>71.0</v>
      </c>
      <c r="DE147" s="49"/>
      <c r="DF147" s="49"/>
      <c r="DG147" s="49"/>
      <c r="DH147" s="49"/>
    </row>
    <row r="148" ht="13.5" hidden="1" customHeight="1">
      <c r="A148" s="264"/>
      <c r="B148" s="165"/>
      <c r="C148" s="165"/>
      <c r="D148" s="165"/>
      <c r="E148" s="165"/>
      <c r="F148" s="166"/>
      <c r="G148" s="167"/>
      <c r="H148" s="168"/>
      <c r="I148" s="167"/>
      <c r="J148" s="168"/>
      <c r="K148" s="167"/>
      <c r="L148" s="168"/>
      <c r="M148" s="167"/>
      <c r="N148" s="168"/>
      <c r="O148" s="167"/>
      <c r="P148" s="168"/>
      <c r="Q148" s="167"/>
      <c r="R148" s="168"/>
      <c r="S148" s="167"/>
      <c r="T148" s="168"/>
      <c r="U148" s="169"/>
      <c r="V148" s="168"/>
      <c r="W148" s="169"/>
      <c r="X148" s="168"/>
      <c r="Y148" s="167"/>
      <c r="Z148" s="168"/>
      <c r="AA148" s="167"/>
      <c r="AB148" s="166"/>
      <c r="AC148" s="165"/>
      <c r="AD148" s="168"/>
      <c r="AE148" s="170"/>
      <c r="AF148" s="171"/>
      <c r="AG148" s="113"/>
      <c r="AH148" s="113"/>
      <c r="AI148" s="113"/>
      <c r="AJ148" s="113"/>
      <c r="AK148" s="113"/>
      <c r="AL148" s="113"/>
      <c r="AM148" s="113"/>
      <c r="AN148" s="113"/>
      <c r="AO148" s="113"/>
      <c r="AP148" s="113"/>
      <c r="AQ148" s="113"/>
      <c r="AR148" s="113"/>
      <c r="AS148" s="113"/>
      <c r="AT148" s="113"/>
      <c r="AU148" s="113"/>
      <c r="AV148" s="113"/>
      <c r="AW148" s="113"/>
      <c r="AY148" s="49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9"/>
      <c r="BL148" s="49"/>
      <c r="BM148" s="50" t="s">
        <v>362</v>
      </c>
      <c r="BN148" s="49"/>
      <c r="BO148" s="49"/>
      <c r="BP148" s="49"/>
      <c r="BQ148" s="49"/>
      <c r="BR148" s="50" t="s">
        <v>362</v>
      </c>
      <c r="BS148" s="49"/>
      <c r="BT148" s="49"/>
      <c r="BU148" s="49"/>
      <c r="BV148" s="49"/>
      <c r="BW148" s="49" t="s">
        <v>362</v>
      </c>
      <c r="BX148" s="49"/>
      <c r="CA148" s="49"/>
      <c r="CB148" s="49"/>
      <c r="CC148" s="49"/>
      <c r="CD148" s="49"/>
      <c r="CE148" s="49" t="s">
        <v>362</v>
      </c>
      <c r="CF148" s="49"/>
      <c r="CG148" s="49"/>
      <c r="CH148" s="49"/>
      <c r="CI148" s="49"/>
      <c r="CJ148" s="49" t="s">
        <v>362</v>
      </c>
      <c r="CK148" s="49"/>
      <c r="CL148" s="49"/>
      <c r="CM148" s="49"/>
      <c r="CN148" s="49"/>
      <c r="CO148" s="49" t="s">
        <v>362</v>
      </c>
      <c r="CP148" s="49"/>
      <c r="CQ148" s="49"/>
      <c r="CR148" s="49"/>
      <c r="CS148" s="49"/>
      <c r="CT148" s="49" t="s">
        <v>362</v>
      </c>
      <c r="CU148" s="49"/>
      <c r="CV148" s="49"/>
      <c r="CW148" s="49"/>
      <c r="CX148" s="49"/>
      <c r="CY148" s="49" t="s">
        <v>362</v>
      </c>
      <c r="CZ148" s="49"/>
      <c r="DA148" s="49"/>
      <c r="DB148" s="49"/>
      <c r="DC148" s="49"/>
      <c r="DD148" s="49" t="s">
        <v>362</v>
      </c>
      <c r="DE148" s="49"/>
      <c r="DF148" s="49"/>
      <c r="DG148" s="49"/>
      <c r="DH148" s="49"/>
    </row>
    <row r="149" hidden="1">
      <c r="A149" s="264"/>
      <c r="B149" s="265"/>
      <c r="C149" s="266"/>
      <c r="D149" s="266"/>
      <c r="E149" s="266"/>
      <c r="F149" s="266"/>
      <c r="G149" s="267"/>
      <c r="H149" s="267"/>
      <c r="I149" s="267"/>
      <c r="J149" s="266"/>
      <c r="K149" s="266"/>
      <c r="L149" s="267"/>
      <c r="M149" s="268"/>
      <c r="N149" s="269"/>
      <c r="O149" s="269"/>
      <c r="P149" s="269"/>
      <c r="Q149" s="269"/>
      <c r="R149" s="269"/>
      <c r="S149" s="269"/>
      <c r="T149" s="270"/>
      <c r="U149" s="268"/>
      <c r="V149" s="268"/>
      <c r="W149" s="268"/>
      <c r="X149" s="270"/>
      <c r="Y149" s="271"/>
      <c r="Z149" s="271"/>
      <c r="AA149" s="271"/>
      <c r="AB149" s="271"/>
      <c r="AC149" s="271"/>
      <c r="AD149" s="272"/>
      <c r="AE149" s="45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  <c r="BF149" s="49"/>
      <c r="BG149" s="49"/>
      <c r="BH149" s="49"/>
      <c r="BI149" s="49"/>
      <c r="BJ149" s="49"/>
      <c r="BK149" s="49"/>
      <c r="BL149" s="49"/>
      <c r="BM149" s="50" t="s">
        <v>362</v>
      </c>
      <c r="BN149" s="49"/>
      <c r="BO149" s="49"/>
      <c r="BP149" s="49"/>
      <c r="BQ149" s="49"/>
      <c r="BR149" s="50" t="s">
        <v>362</v>
      </c>
      <c r="BS149" s="49"/>
      <c r="BT149" s="49"/>
      <c r="BU149" s="49"/>
      <c r="BV149" s="49"/>
      <c r="BW149" s="49" t="s">
        <v>362</v>
      </c>
      <c r="BX149" s="49"/>
      <c r="CA149" s="49"/>
      <c r="CB149" s="49"/>
      <c r="CC149" s="49"/>
      <c r="CD149" s="49"/>
      <c r="CE149" s="49" t="s">
        <v>362</v>
      </c>
      <c r="CF149" s="49"/>
      <c r="CG149" s="49"/>
      <c r="CH149" s="49"/>
      <c r="CI149" s="49"/>
      <c r="CJ149" s="49" t="s">
        <v>362</v>
      </c>
      <c r="CK149" s="49"/>
      <c r="CL149" s="49"/>
      <c r="CM149" s="49"/>
      <c r="CN149" s="49"/>
      <c r="CO149" s="49" t="s">
        <v>362</v>
      </c>
      <c r="CP149" s="49"/>
      <c r="CQ149" s="49"/>
      <c r="CR149" s="49"/>
      <c r="CS149" s="49"/>
      <c r="CT149" s="49" t="s">
        <v>362</v>
      </c>
      <c r="CU149" s="49"/>
      <c r="CV149" s="49"/>
      <c r="CW149" s="49"/>
      <c r="CX149" s="49"/>
      <c r="CY149" s="49" t="s">
        <v>362</v>
      </c>
      <c r="CZ149" s="49"/>
      <c r="DA149" s="49"/>
      <c r="DB149" s="49"/>
      <c r="DC149" s="49"/>
      <c r="DD149" s="49" t="s">
        <v>362</v>
      </c>
      <c r="DE149" s="49"/>
      <c r="DF149" s="49"/>
      <c r="DG149" s="49"/>
      <c r="DH149" s="49"/>
    </row>
    <row r="150" hidden="1">
      <c r="A150" s="264"/>
      <c r="B150" s="265"/>
      <c r="C150" s="266"/>
      <c r="D150" s="266"/>
      <c r="E150" s="266"/>
      <c r="F150" s="266"/>
      <c r="G150" s="267"/>
      <c r="H150" s="267"/>
      <c r="I150" s="267"/>
      <c r="J150" s="266"/>
      <c r="K150" s="266"/>
      <c r="L150" s="267"/>
      <c r="M150" s="268"/>
      <c r="N150" s="269"/>
      <c r="O150" s="269"/>
      <c r="P150" s="269"/>
      <c r="Q150" s="269"/>
      <c r="R150" s="269"/>
      <c r="S150" s="269"/>
      <c r="T150" s="270"/>
      <c r="U150" s="268"/>
      <c r="V150" s="268"/>
      <c r="W150" s="268"/>
      <c r="X150" s="270"/>
      <c r="Y150" s="271"/>
      <c r="Z150" s="271"/>
      <c r="AA150" s="271"/>
      <c r="AB150" s="271"/>
      <c r="AC150" s="271"/>
      <c r="AD150" s="272"/>
      <c r="AE150" s="45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9"/>
      <c r="BL150" s="49"/>
      <c r="BM150" s="50" t="s">
        <v>362</v>
      </c>
      <c r="BN150" s="49"/>
      <c r="BO150" s="49"/>
      <c r="BP150" s="49"/>
      <c r="BQ150" s="49"/>
      <c r="BR150" s="50" t="s">
        <v>362</v>
      </c>
      <c r="BS150" s="49"/>
      <c r="BT150" s="49"/>
      <c r="BU150" s="49"/>
      <c r="BV150" s="49"/>
      <c r="BW150" s="49" t="s">
        <v>362</v>
      </c>
      <c r="BX150" s="49"/>
      <c r="CA150" s="49"/>
      <c r="CB150" s="49"/>
      <c r="CC150" s="49"/>
      <c r="CD150" s="49"/>
      <c r="CE150" s="49" t="s">
        <v>362</v>
      </c>
      <c r="CF150" s="49"/>
      <c r="CG150" s="49"/>
      <c r="CH150" s="49"/>
      <c r="CI150" s="49"/>
      <c r="CJ150" s="49" t="s">
        <v>362</v>
      </c>
      <c r="CK150" s="49"/>
      <c r="CL150" s="49"/>
      <c r="CM150" s="49"/>
      <c r="CN150" s="49"/>
      <c r="CO150" s="49" t="s">
        <v>362</v>
      </c>
      <c r="CP150" s="49"/>
      <c r="CQ150" s="49"/>
      <c r="CR150" s="49"/>
      <c r="CS150" s="49"/>
      <c r="CT150" s="49" t="s">
        <v>362</v>
      </c>
      <c r="CU150" s="49"/>
      <c r="CV150" s="49"/>
      <c r="CW150" s="49"/>
      <c r="CX150" s="49"/>
      <c r="CY150" s="49" t="s">
        <v>362</v>
      </c>
      <c r="CZ150" s="49"/>
      <c r="DA150" s="49"/>
      <c r="DB150" s="49"/>
      <c r="DC150" s="49"/>
      <c r="DD150" s="49" t="s">
        <v>362</v>
      </c>
      <c r="DE150" s="49"/>
      <c r="DF150" s="49"/>
      <c r="DG150" s="49"/>
      <c r="DH150" s="49"/>
    </row>
    <row r="151" hidden="1">
      <c r="A151" s="264"/>
      <c r="B151" s="265"/>
      <c r="C151" s="266"/>
      <c r="D151" s="266"/>
      <c r="E151" s="266"/>
      <c r="F151" s="266"/>
      <c r="G151" s="267"/>
      <c r="H151" s="267"/>
      <c r="I151" s="267"/>
      <c r="J151" s="266"/>
      <c r="K151" s="266"/>
      <c r="L151" s="267"/>
      <c r="M151" s="268"/>
      <c r="N151" s="269"/>
      <c r="O151" s="269"/>
      <c r="P151" s="269"/>
      <c r="Q151" s="269"/>
      <c r="R151" s="269"/>
      <c r="S151" s="269"/>
      <c r="T151" s="270"/>
      <c r="U151" s="268"/>
      <c r="V151" s="268"/>
      <c r="W151" s="268"/>
      <c r="X151" s="270"/>
      <c r="Y151" s="271"/>
      <c r="Z151" s="271"/>
      <c r="AA151" s="271"/>
      <c r="AB151" s="271"/>
      <c r="AC151" s="271"/>
      <c r="AD151" s="272"/>
      <c r="AE151" s="45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  <c r="BF151" s="49"/>
      <c r="BG151" s="49"/>
      <c r="BH151" s="49"/>
      <c r="BI151" s="49"/>
      <c r="BJ151" s="49"/>
      <c r="BK151" s="49"/>
      <c r="BL151" s="49"/>
      <c r="BM151" s="50" t="s">
        <v>362</v>
      </c>
      <c r="BN151" s="49"/>
      <c r="BO151" s="49"/>
      <c r="BP151" s="49"/>
      <c r="BQ151" s="49"/>
      <c r="BR151" s="50" t="s">
        <v>362</v>
      </c>
      <c r="BS151" s="49"/>
      <c r="BT151" s="49"/>
      <c r="BU151" s="49"/>
      <c r="BV151" s="49"/>
      <c r="BW151" s="49" t="s">
        <v>362</v>
      </c>
      <c r="BX151" s="49"/>
      <c r="CA151" s="49"/>
      <c r="CB151" s="49"/>
      <c r="CC151" s="49"/>
      <c r="CD151" s="49"/>
      <c r="CE151" s="49" t="s">
        <v>362</v>
      </c>
      <c r="CF151" s="49"/>
      <c r="CG151" s="49"/>
      <c r="CH151" s="49"/>
      <c r="CI151" s="49"/>
      <c r="CJ151" s="49" t="s">
        <v>362</v>
      </c>
      <c r="CK151" s="49"/>
      <c r="CL151" s="49"/>
      <c r="CM151" s="49"/>
      <c r="CN151" s="49"/>
      <c r="CO151" s="49" t="s">
        <v>362</v>
      </c>
      <c r="CP151" s="49"/>
      <c r="CQ151" s="49"/>
      <c r="CR151" s="49"/>
      <c r="CS151" s="49"/>
      <c r="CT151" s="49" t="s">
        <v>362</v>
      </c>
      <c r="CU151" s="49"/>
      <c r="CV151" s="49"/>
      <c r="CW151" s="49"/>
      <c r="CX151" s="49"/>
      <c r="CY151" s="49" t="s">
        <v>362</v>
      </c>
      <c r="CZ151" s="49"/>
      <c r="DA151" s="49"/>
      <c r="DB151" s="49"/>
      <c r="DC151" s="49"/>
      <c r="DD151" s="49" t="s">
        <v>362</v>
      </c>
      <c r="DE151" s="49"/>
      <c r="DF151" s="49"/>
      <c r="DG151" s="49"/>
      <c r="DH151" s="49"/>
    </row>
    <row r="152" ht="10.5" customHeight="1">
      <c r="A152" s="264"/>
      <c r="B152" s="265"/>
      <c r="C152" s="266"/>
      <c r="D152" s="266"/>
      <c r="E152" s="266"/>
      <c r="F152" s="266"/>
      <c r="G152" s="267"/>
      <c r="H152" s="267"/>
      <c r="I152" s="267"/>
      <c r="J152" s="266"/>
      <c r="K152" s="266"/>
      <c r="L152" s="267"/>
      <c r="M152" s="268"/>
      <c r="N152" s="269"/>
      <c r="O152" s="269"/>
      <c r="P152" s="269"/>
      <c r="Q152" s="269"/>
      <c r="R152" s="269"/>
      <c r="S152" s="269"/>
      <c r="T152" s="270"/>
      <c r="U152" s="268"/>
      <c r="V152" s="268"/>
      <c r="W152" s="268"/>
      <c r="X152" s="270"/>
      <c r="Y152" s="271"/>
      <c r="Z152" s="271"/>
      <c r="AA152" s="271"/>
      <c r="AB152" s="271"/>
      <c r="AC152" s="271"/>
      <c r="AD152" s="272"/>
      <c r="AE152" s="45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  <c r="BM152" s="50" t="s">
        <v>362</v>
      </c>
      <c r="BN152" s="49"/>
      <c r="BO152" s="49"/>
      <c r="BP152" s="49"/>
      <c r="BQ152" s="49"/>
      <c r="BR152" s="50" t="s">
        <v>362</v>
      </c>
      <c r="BS152" s="49"/>
      <c r="BT152" s="49"/>
      <c r="BU152" s="49"/>
      <c r="BV152" s="49"/>
      <c r="BW152" s="49" t="s">
        <v>362</v>
      </c>
      <c r="BX152" s="49"/>
      <c r="CA152" s="49"/>
      <c r="CB152" s="49"/>
      <c r="CC152" s="49"/>
      <c r="CD152" s="49"/>
      <c r="CE152" s="49" t="s">
        <v>362</v>
      </c>
      <c r="CF152" s="49"/>
      <c r="CG152" s="49"/>
      <c r="CH152" s="49"/>
      <c r="CI152" s="49"/>
      <c r="CJ152" s="49" t="s">
        <v>362</v>
      </c>
      <c r="CK152" s="49"/>
      <c r="CL152" s="49"/>
      <c r="CM152" s="49"/>
      <c r="CN152" s="49"/>
      <c r="CO152" s="49" t="s">
        <v>362</v>
      </c>
      <c r="CP152" s="49"/>
      <c r="CQ152" s="49"/>
      <c r="CR152" s="49"/>
      <c r="CS152" s="49"/>
      <c r="CT152" s="49" t="s">
        <v>362</v>
      </c>
      <c r="CU152" s="49"/>
      <c r="CV152" s="49"/>
      <c r="CW152" s="49"/>
      <c r="CX152" s="49"/>
      <c r="CY152" s="49" t="s">
        <v>362</v>
      </c>
      <c r="CZ152" s="49"/>
      <c r="DA152" s="49"/>
      <c r="DB152" s="49"/>
      <c r="DC152" s="49"/>
      <c r="DD152" s="49" t="s">
        <v>362</v>
      </c>
      <c r="DE152" s="49"/>
      <c r="DF152" s="49"/>
      <c r="DG152" s="49"/>
      <c r="DH152" s="49"/>
    </row>
    <row r="153" ht="18.75" customHeight="1">
      <c r="A153" s="264"/>
      <c r="B153" s="63" t="str">
        <f>IFERROR(__xludf.DUMMYFUNCTION("IMPORTRANGE('Пр.взв'!N1,""Реквизиты!A5"")"),"Гл.судья, судья ВК")</f>
        <v>Гл.судья, судья ВК</v>
      </c>
      <c r="D153" s="266"/>
      <c r="E153" s="273"/>
      <c r="F153" s="273"/>
      <c r="G153" s="274"/>
      <c r="H153" s="274"/>
      <c r="I153" s="274"/>
      <c r="J153" s="273"/>
      <c r="K153" s="273"/>
      <c r="L153" s="274"/>
      <c r="M153" s="275"/>
      <c r="N153" s="269" t="str">
        <f>IFERROR(__xludf.DUMMYFUNCTION("IMPORTRANGE('Пр.взв'!N1,""Реквизиты!C6"")"),"Редин Д.А.
")</f>
        <v>Редин Д.А.
</v>
      </c>
      <c r="T153" s="270"/>
      <c r="U153" s="268"/>
      <c r="V153" s="268"/>
      <c r="W153" s="268"/>
      <c r="X153" s="270"/>
      <c r="Y153" s="271" t="str">
        <f>IFERROR(__xludf.DUMMYFUNCTION("IMPORTRANGE('Пр.взв'!N1,""Реквизиты!B7"")"),"/ г.Хабаровск /")</f>
        <v>/ г.Хабаровск /</v>
      </c>
      <c r="AE153" s="45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9"/>
      <c r="BL153" s="49"/>
      <c r="BM153" s="50" t="s">
        <v>365</v>
      </c>
      <c r="BN153" s="49"/>
      <c r="BO153" s="49"/>
      <c r="BP153" s="49"/>
      <c r="BQ153" s="49"/>
      <c r="BR153" s="50" t="s">
        <v>362</v>
      </c>
      <c r="BS153" s="49"/>
      <c r="BT153" s="49"/>
      <c r="BU153" s="49"/>
      <c r="BV153" s="49"/>
      <c r="BW153" s="49" t="s">
        <v>362</v>
      </c>
      <c r="BX153" s="49"/>
      <c r="CA153" s="49"/>
      <c r="CB153" s="49"/>
      <c r="CC153" s="49"/>
      <c r="CD153" s="49"/>
      <c r="CE153" s="49" t="s">
        <v>365</v>
      </c>
      <c r="CF153" s="49"/>
      <c r="CG153" s="49"/>
      <c r="CH153" s="49"/>
      <c r="CI153" s="49"/>
      <c r="CJ153" s="49" t="s">
        <v>365</v>
      </c>
      <c r="CK153" s="49" t="s">
        <v>366</v>
      </c>
      <c r="CL153" s="49"/>
      <c r="CM153" s="49"/>
      <c r="CN153" s="49"/>
      <c r="CO153" s="49" t="s">
        <v>365</v>
      </c>
      <c r="CP153" s="49"/>
      <c r="CQ153" s="49"/>
      <c r="CR153" s="49"/>
      <c r="CS153" s="49"/>
      <c r="CT153" s="49" t="s">
        <v>365</v>
      </c>
      <c r="CU153" s="49"/>
      <c r="CV153" s="49"/>
      <c r="CW153" s="49"/>
      <c r="CX153" s="49"/>
      <c r="CY153" s="49" t="s">
        <v>365</v>
      </c>
      <c r="CZ153" s="49"/>
      <c r="DA153" s="49"/>
      <c r="DB153" s="49"/>
      <c r="DC153" s="49"/>
      <c r="DD153" s="49" t="s">
        <v>365</v>
      </c>
      <c r="DE153" s="49"/>
      <c r="DF153" s="49"/>
      <c r="DG153" s="49"/>
      <c r="DH153" s="49"/>
    </row>
    <row r="154" ht="19.5" customHeight="1">
      <c r="A154" s="54"/>
      <c r="B154" s="63" t="str">
        <f>IFERROR(__xludf.DUMMYFUNCTION("IMPORTRANGE('Пр.взв'!N1,""Реквизиты!A9"")"),"Гл.секретарь, судья ВК")</f>
        <v>Гл.секретарь, судья ВК</v>
      </c>
      <c r="D154" s="276"/>
      <c r="E154" s="277"/>
      <c r="F154" s="278"/>
      <c r="G154" s="279"/>
      <c r="H154" s="279"/>
      <c r="I154" s="279"/>
      <c r="J154" s="279"/>
      <c r="K154" s="279"/>
      <c r="L154" s="279"/>
      <c r="M154" s="279"/>
      <c r="N154" s="269" t="str">
        <f>IFERROR(__xludf.DUMMYFUNCTION("IMPORTRANGE('Пр.взв'!N1,""Реквизиты!C10"")"),"Зарипов А.А.")</f>
        <v>Зарипов А.А.</v>
      </c>
      <c r="T154" s="280"/>
      <c r="U154" s="281"/>
      <c r="V154" s="281"/>
      <c r="W154" s="281"/>
      <c r="X154" s="280"/>
      <c r="Y154" s="271" t="str">
        <f>IFERROR(__xludf.DUMMYFUNCTION("IMPORTRANGE('Пр.взв'!N1,""Реквизиты!B11"")"),"/ Р.Татарстан /")</f>
        <v>/ Р.Татарстан /</v>
      </c>
      <c r="AE154" s="45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  <c r="BF154" s="49"/>
      <c r="BG154" s="49"/>
      <c r="BH154" s="49"/>
      <c r="BI154" s="49"/>
      <c r="BJ154" s="49"/>
      <c r="BK154" s="49"/>
      <c r="BL154" s="49"/>
      <c r="BM154" s="50" t="s">
        <v>367</v>
      </c>
      <c r="BN154" s="49"/>
      <c r="BO154" s="49"/>
      <c r="BP154" s="49"/>
      <c r="BQ154" s="49"/>
      <c r="BR154" s="50" t="s">
        <v>362</v>
      </c>
      <c r="BS154" s="49"/>
      <c r="BT154" s="49"/>
      <c r="BU154" s="49"/>
      <c r="BV154" s="49"/>
      <c r="BW154" s="49" t="s">
        <v>362</v>
      </c>
      <c r="BX154" s="49"/>
      <c r="CA154" s="49"/>
      <c r="CB154" s="49"/>
      <c r="CC154" s="49"/>
      <c r="CD154" s="49"/>
      <c r="CE154" s="49" t="s">
        <v>367</v>
      </c>
      <c r="CF154" s="49"/>
      <c r="CG154" s="49"/>
      <c r="CH154" s="49"/>
      <c r="CI154" s="49"/>
      <c r="CJ154" s="49" t="s">
        <v>367</v>
      </c>
      <c r="CK154" s="49" t="s">
        <v>163</v>
      </c>
      <c r="CL154" s="49"/>
      <c r="CM154" s="49"/>
      <c r="CN154" s="49"/>
      <c r="CO154" s="49" t="s">
        <v>367</v>
      </c>
      <c r="CP154" s="49"/>
      <c r="CQ154" s="49"/>
      <c r="CR154" s="49"/>
      <c r="CS154" s="49"/>
      <c r="CT154" s="49" t="s">
        <v>367</v>
      </c>
      <c r="CU154" s="49"/>
      <c r="CV154" s="49"/>
      <c r="CW154" s="49"/>
      <c r="CX154" s="49"/>
      <c r="CY154" s="49" t="s">
        <v>367</v>
      </c>
      <c r="CZ154" s="49"/>
      <c r="DA154" s="49"/>
      <c r="DB154" s="49"/>
      <c r="DC154" s="49"/>
      <c r="DD154" s="49" t="s">
        <v>367</v>
      </c>
      <c r="DE154" s="49"/>
      <c r="DF154" s="49"/>
      <c r="DG154" s="49"/>
      <c r="DH154" s="49"/>
    </row>
    <row r="155">
      <c r="D155" s="282"/>
      <c r="F155" s="283"/>
      <c r="AD155" s="284"/>
      <c r="AE155" s="285"/>
      <c r="AY155" s="245"/>
      <c r="BA155" s="245"/>
      <c r="BC155" s="245"/>
      <c r="BD155" s="245"/>
      <c r="BE155" s="245"/>
      <c r="BF155" s="245"/>
      <c r="BG155" s="245"/>
      <c r="BH155" s="245"/>
      <c r="BM155" s="245" t="s">
        <v>362</v>
      </c>
      <c r="BN155" s="245"/>
      <c r="BP155" s="245"/>
      <c r="BR155" s="245" t="s">
        <v>362</v>
      </c>
      <c r="BS155" s="245"/>
      <c r="BU155" s="245"/>
      <c r="BW155" s="245" t="s">
        <v>362</v>
      </c>
      <c r="BX155" s="245"/>
      <c r="CE155" s="245" t="s">
        <v>362</v>
      </c>
      <c r="CF155" s="245"/>
      <c r="CH155" s="245"/>
      <c r="CJ155" s="245" t="s">
        <v>362</v>
      </c>
      <c r="CK155" s="245"/>
      <c r="CM155" s="245"/>
      <c r="CO155" s="245" t="s">
        <v>362</v>
      </c>
      <c r="CP155" s="245"/>
      <c r="CR155" s="245"/>
      <c r="CT155" s="245" t="s">
        <v>362</v>
      </c>
      <c r="CU155" s="245"/>
      <c r="CW155" s="245"/>
      <c r="CY155" s="245" t="s">
        <v>362</v>
      </c>
      <c r="CZ155" s="245"/>
      <c r="DB155" s="245"/>
      <c r="DD155" s="245" t="s">
        <v>362</v>
      </c>
    </row>
    <row r="156">
      <c r="D156" s="282"/>
      <c r="AD156" s="284"/>
      <c r="AE156" s="285"/>
      <c r="AY156" s="245"/>
      <c r="BA156" s="245"/>
      <c r="BC156" s="245"/>
      <c r="BD156" s="245"/>
      <c r="BE156" s="245"/>
      <c r="BF156" s="245"/>
      <c r="BG156" s="245"/>
      <c r="BH156" s="245"/>
      <c r="BM156" s="245" t="s">
        <v>362</v>
      </c>
      <c r="BN156" s="245"/>
      <c r="BP156" s="245"/>
      <c r="BR156" s="245" t="s">
        <v>362</v>
      </c>
      <c r="BS156" s="245"/>
      <c r="BU156" s="245"/>
      <c r="BW156" s="245" t="s">
        <v>362</v>
      </c>
      <c r="BX156" s="245"/>
      <c r="CE156" s="245" t="s">
        <v>362</v>
      </c>
      <c r="CF156" s="245"/>
      <c r="CH156" s="245"/>
      <c r="CJ156" s="245" t="s">
        <v>362</v>
      </c>
      <c r="CK156" s="245"/>
      <c r="CM156" s="245"/>
      <c r="CO156" s="245" t="s">
        <v>362</v>
      </c>
      <c r="CP156" s="245"/>
      <c r="CR156" s="245"/>
      <c r="CT156" s="245" t="s">
        <v>362</v>
      </c>
      <c r="CU156" s="245"/>
      <c r="CW156" s="245"/>
      <c r="CY156" s="245" t="s">
        <v>362</v>
      </c>
      <c r="CZ156" s="245"/>
      <c r="DB156" s="245"/>
      <c r="DD156" s="245" t="s">
        <v>362</v>
      </c>
    </row>
    <row r="157">
      <c r="D157" s="282"/>
      <c r="AD157" s="284"/>
      <c r="AE157" s="285"/>
      <c r="AY157" s="245"/>
      <c r="BA157" s="245"/>
      <c r="BC157" s="245"/>
      <c r="BD157" s="245"/>
      <c r="BE157" s="245"/>
      <c r="BF157" s="245"/>
      <c r="BG157" s="245"/>
      <c r="BH157" s="245"/>
      <c r="BM157" s="245" t="s">
        <v>362</v>
      </c>
      <c r="BN157" s="245"/>
      <c r="BP157" s="245"/>
      <c r="BR157" s="245" t="s">
        <v>362</v>
      </c>
      <c r="BS157" s="245"/>
      <c r="BU157" s="245"/>
      <c r="BW157" s="245" t="s">
        <v>362</v>
      </c>
      <c r="BX157" s="245"/>
      <c r="CE157" s="245" t="s">
        <v>362</v>
      </c>
      <c r="CF157" s="245"/>
      <c r="CH157" s="245"/>
      <c r="CJ157" s="245" t="s">
        <v>362</v>
      </c>
      <c r="CK157" s="245"/>
      <c r="CM157" s="245"/>
      <c r="CO157" s="245" t="s">
        <v>362</v>
      </c>
      <c r="CP157" s="245"/>
      <c r="CR157" s="245"/>
      <c r="CT157" s="245" t="s">
        <v>362</v>
      </c>
      <c r="CU157" s="245"/>
      <c r="CW157" s="245"/>
      <c r="CY157" s="245" t="s">
        <v>362</v>
      </c>
      <c r="CZ157" s="245"/>
      <c r="DB157" s="245"/>
      <c r="DD157" s="245" t="s">
        <v>362</v>
      </c>
    </row>
    <row r="158">
      <c r="D158" s="282"/>
      <c r="AD158" s="284"/>
      <c r="AE158" s="285"/>
      <c r="AY158" s="245"/>
      <c r="BA158" s="245"/>
      <c r="BC158" s="245"/>
      <c r="BD158" s="245"/>
      <c r="BE158" s="245"/>
      <c r="BF158" s="245"/>
      <c r="BG158" s="245"/>
      <c r="BH158" s="245"/>
      <c r="BM158" s="245" t="s">
        <v>362</v>
      </c>
      <c r="BN158" s="245"/>
      <c r="BP158" s="245"/>
      <c r="BR158" s="245" t="s">
        <v>362</v>
      </c>
      <c r="BS158" s="245"/>
      <c r="BU158" s="245"/>
      <c r="BW158" s="245" t="s">
        <v>362</v>
      </c>
      <c r="BX158" s="245"/>
      <c r="CE158" s="245" t="s">
        <v>362</v>
      </c>
      <c r="CF158" s="245"/>
      <c r="CH158" s="245"/>
      <c r="CJ158" s="245" t="s">
        <v>362</v>
      </c>
      <c r="CK158" s="245"/>
      <c r="CM158" s="245"/>
      <c r="CO158" s="245" t="s">
        <v>362</v>
      </c>
      <c r="CP158" s="245"/>
      <c r="CR158" s="245"/>
      <c r="CT158" s="245" t="s">
        <v>362</v>
      </c>
      <c r="CU158" s="245"/>
      <c r="CW158" s="245"/>
      <c r="CY158" s="245" t="s">
        <v>362</v>
      </c>
      <c r="CZ158" s="245"/>
      <c r="DB158" s="245"/>
      <c r="DD158" s="245" t="s">
        <v>362</v>
      </c>
    </row>
    <row r="159">
      <c r="D159" s="282"/>
      <c r="AD159" s="284"/>
      <c r="AE159" s="285"/>
      <c r="AY159" s="245"/>
      <c r="BA159" s="245"/>
      <c r="BC159" s="245"/>
      <c r="BD159" s="245"/>
      <c r="BE159" s="245"/>
      <c r="BF159" s="245"/>
      <c r="BG159" s="245"/>
      <c r="BH159" s="245"/>
      <c r="BM159" s="245" t="s">
        <v>362</v>
      </c>
      <c r="BN159" s="245"/>
      <c r="BP159" s="245"/>
      <c r="BR159" s="245" t="s">
        <v>362</v>
      </c>
      <c r="BS159" s="245"/>
      <c r="BU159" s="245"/>
      <c r="BW159" s="245" t="s">
        <v>362</v>
      </c>
      <c r="BX159" s="245"/>
      <c r="CE159" s="245" t="s">
        <v>362</v>
      </c>
      <c r="CF159" s="245"/>
      <c r="CH159" s="245"/>
      <c r="CJ159" s="245" t="s">
        <v>362</v>
      </c>
      <c r="CK159" s="245"/>
      <c r="CM159" s="245"/>
      <c r="CO159" s="245" t="s">
        <v>362</v>
      </c>
      <c r="CP159" s="245"/>
      <c r="CR159" s="245"/>
      <c r="CT159" s="245" t="s">
        <v>362</v>
      </c>
      <c r="CU159" s="245"/>
      <c r="CW159" s="245"/>
      <c r="CY159" s="245" t="s">
        <v>362</v>
      </c>
      <c r="CZ159" s="245"/>
      <c r="DB159" s="245"/>
      <c r="DD159" s="245" t="s">
        <v>362</v>
      </c>
    </row>
    <row r="160">
      <c r="D160" s="282"/>
      <c r="AD160" s="284"/>
      <c r="AE160" s="285"/>
      <c r="AY160" s="245"/>
      <c r="BA160" s="245"/>
      <c r="BC160" s="245"/>
      <c r="BD160" s="245"/>
      <c r="BE160" s="245"/>
      <c r="BF160" s="245"/>
      <c r="BG160" s="245"/>
      <c r="BH160" s="245"/>
      <c r="BM160" s="245" t="s">
        <v>362</v>
      </c>
      <c r="BN160" s="245"/>
      <c r="BP160" s="245"/>
      <c r="BR160" s="245" t="s">
        <v>362</v>
      </c>
      <c r="BS160" s="245"/>
      <c r="BU160" s="245"/>
      <c r="BW160" s="245" t="s">
        <v>362</v>
      </c>
      <c r="BX160" s="245"/>
      <c r="CE160" s="245" t="s">
        <v>362</v>
      </c>
      <c r="CF160" s="245"/>
      <c r="CH160" s="245"/>
      <c r="CJ160" s="245" t="s">
        <v>362</v>
      </c>
      <c r="CK160" s="245"/>
      <c r="CM160" s="245"/>
      <c r="CO160" s="245" t="s">
        <v>362</v>
      </c>
      <c r="CP160" s="245"/>
      <c r="CR160" s="245"/>
      <c r="CT160" s="245" t="s">
        <v>362</v>
      </c>
      <c r="CU160" s="245"/>
      <c r="CW160" s="245"/>
      <c r="CY160" s="245" t="s">
        <v>362</v>
      </c>
      <c r="CZ160" s="245"/>
      <c r="DB160" s="245"/>
      <c r="DD160" s="245" t="s">
        <v>362</v>
      </c>
    </row>
    <row r="161">
      <c r="D161" s="282"/>
      <c r="AD161" s="284"/>
      <c r="AE161" s="285"/>
      <c r="AY161" s="245"/>
      <c r="BA161" s="245"/>
      <c r="BC161" s="245"/>
      <c r="BD161" s="245"/>
      <c r="BE161" s="245"/>
      <c r="BF161" s="245"/>
      <c r="BG161" s="245"/>
      <c r="BH161" s="245"/>
      <c r="BM161" s="245" t="s">
        <v>362</v>
      </c>
      <c r="BN161" s="245"/>
      <c r="BP161" s="245"/>
      <c r="BR161" s="245" t="s">
        <v>362</v>
      </c>
      <c r="BS161" s="245"/>
      <c r="BU161" s="245"/>
      <c r="BW161" s="245" t="s">
        <v>362</v>
      </c>
      <c r="BX161" s="245"/>
      <c r="CE161" s="245" t="s">
        <v>362</v>
      </c>
      <c r="CF161" s="245"/>
      <c r="CH161" s="245"/>
      <c r="CJ161" s="245" t="s">
        <v>362</v>
      </c>
      <c r="CK161" s="245"/>
      <c r="CM161" s="245"/>
      <c r="CO161" s="245" t="s">
        <v>362</v>
      </c>
      <c r="CP161" s="245"/>
      <c r="CR161" s="245"/>
      <c r="CT161" s="245" t="s">
        <v>362</v>
      </c>
      <c r="CU161" s="245"/>
      <c r="CW161" s="245"/>
      <c r="CY161" s="245" t="s">
        <v>362</v>
      </c>
      <c r="CZ161" s="245"/>
      <c r="DB161" s="245"/>
      <c r="DD161" s="245" t="s">
        <v>362</v>
      </c>
    </row>
    <row r="162">
      <c r="D162" s="282"/>
      <c r="AD162" s="284"/>
      <c r="AE162" s="285"/>
      <c r="AY162" s="245"/>
      <c r="BA162" s="245"/>
      <c r="BC162" s="245"/>
      <c r="BD162" s="245"/>
      <c r="BE162" s="245"/>
      <c r="BF162" s="245"/>
      <c r="BG162" s="245"/>
      <c r="BH162" s="245"/>
      <c r="BM162" s="245" t="s">
        <v>362</v>
      </c>
      <c r="BN162" s="245"/>
      <c r="BP162" s="245"/>
      <c r="BR162" s="245" t="s">
        <v>362</v>
      </c>
      <c r="BS162" s="245"/>
      <c r="BU162" s="245"/>
      <c r="BW162" s="245" t="s">
        <v>362</v>
      </c>
      <c r="BX162" s="245"/>
      <c r="CE162" s="245" t="s">
        <v>362</v>
      </c>
      <c r="CF162" s="245"/>
      <c r="CH162" s="245"/>
      <c r="CJ162" s="245" t="s">
        <v>362</v>
      </c>
      <c r="CK162" s="245"/>
      <c r="CM162" s="245"/>
      <c r="CO162" s="245" t="s">
        <v>362</v>
      </c>
      <c r="CP162" s="245"/>
      <c r="CR162" s="245"/>
      <c r="CT162" s="245" t="s">
        <v>362</v>
      </c>
      <c r="CU162" s="245"/>
      <c r="CW162" s="245"/>
      <c r="CY162" s="245" t="s">
        <v>362</v>
      </c>
      <c r="CZ162" s="245"/>
      <c r="DB162" s="245"/>
      <c r="DD162" s="245" t="s">
        <v>362</v>
      </c>
    </row>
    <row r="163">
      <c r="D163" s="282"/>
      <c r="AD163" s="284"/>
      <c r="AE163" s="285"/>
      <c r="AY163" s="245"/>
      <c r="BA163" s="245"/>
      <c r="BC163" s="245"/>
      <c r="BD163" s="245"/>
      <c r="BE163" s="245"/>
      <c r="BF163" s="245"/>
      <c r="BG163" s="245"/>
      <c r="BH163" s="245"/>
      <c r="BM163" s="245" t="s">
        <v>362</v>
      </c>
      <c r="BN163" s="245"/>
      <c r="BP163" s="245"/>
      <c r="BR163" s="245" t="s">
        <v>362</v>
      </c>
      <c r="BS163" s="245"/>
      <c r="BU163" s="245"/>
      <c r="BW163" s="245" t="s">
        <v>362</v>
      </c>
      <c r="BX163" s="245"/>
      <c r="CE163" s="245" t="s">
        <v>362</v>
      </c>
      <c r="CF163" s="245"/>
      <c r="CH163" s="245"/>
      <c r="CJ163" s="245" t="s">
        <v>362</v>
      </c>
      <c r="CK163" s="245"/>
      <c r="CM163" s="245"/>
      <c r="CO163" s="245" t="s">
        <v>362</v>
      </c>
      <c r="CP163" s="245"/>
      <c r="CR163" s="245"/>
      <c r="CT163" s="245" t="s">
        <v>362</v>
      </c>
      <c r="CU163" s="245"/>
      <c r="CW163" s="245"/>
      <c r="CY163" s="245" t="s">
        <v>362</v>
      </c>
      <c r="CZ163" s="245"/>
      <c r="DB163" s="245"/>
      <c r="DD163" s="245" t="s">
        <v>362</v>
      </c>
    </row>
    <row r="164">
      <c r="D164" s="282"/>
      <c r="AD164" s="284"/>
      <c r="AE164" s="285"/>
      <c r="AY164" s="245"/>
      <c r="BA164" s="245"/>
      <c r="BC164" s="245"/>
      <c r="BD164" s="245"/>
      <c r="BE164" s="245"/>
      <c r="BF164" s="245"/>
      <c r="BG164" s="245"/>
      <c r="BH164" s="245"/>
      <c r="BM164" s="245" t="s">
        <v>362</v>
      </c>
      <c r="BN164" s="245"/>
      <c r="BP164" s="245"/>
      <c r="BR164" s="245" t="s">
        <v>362</v>
      </c>
      <c r="BS164" s="245"/>
      <c r="BU164" s="245"/>
      <c r="BW164" s="245" t="s">
        <v>362</v>
      </c>
      <c r="BX164" s="245"/>
      <c r="CE164" s="245" t="s">
        <v>362</v>
      </c>
      <c r="CF164" s="245"/>
      <c r="CH164" s="245"/>
      <c r="CJ164" s="245" t="s">
        <v>362</v>
      </c>
      <c r="CK164" s="245"/>
      <c r="CM164" s="245"/>
      <c r="CO164" s="245" t="s">
        <v>362</v>
      </c>
      <c r="CP164" s="245"/>
      <c r="CR164" s="245"/>
      <c r="CT164" s="245" t="s">
        <v>362</v>
      </c>
      <c r="CU164" s="245"/>
      <c r="CW164" s="245"/>
      <c r="CY164" s="245" t="s">
        <v>362</v>
      </c>
      <c r="CZ164" s="245"/>
      <c r="DB164" s="245"/>
      <c r="DD164" s="245" t="s">
        <v>362</v>
      </c>
    </row>
  </sheetData>
  <mergeCells count="3603">
    <mergeCell ref="L18:L19"/>
    <mergeCell ref="N18:N19"/>
    <mergeCell ref="P18:P19"/>
    <mergeCell ref="R18:R19"/>
    <mergeCell ref="T18:T19"/>
    <mergeCell ref="V18:V19"/>
    <mergeCell ref="X18:X19"/>
    <mergeCell ref="B18:B19"/>
    <mergeCell ref="C18:C19"/>
    <mergeCell ref="D18:D19"/>
    <mergeCell ref="E18:E19"/>
    <mergeCell ref="F18:F19"/>
    <mergeCell ref="H18:H19"/>
    <mergeCell ref="J18:J19"/>
    <mergeCell ref="L22:L23"/>
    <mergeCell ref="N22:N23"/>
    <mergeCell ref="P22:P23"/>
    <mergeCell ref="R22:R23"/>
    <mergeCell ref="T22:T23"/>
    <mergeCell ref="V22:V23"/>
    <mergeCell ref="X22:X23"/>
    <mergeCell ref="Z22:Z23"/>
    <mergeCell ref="AB22:AB23"/>
    <mergeCell ref="AC22:AC23"/>
    <mergeCell ref="AD22:AD23"/>
    <mergeCell ref="AE22:AE23"/>
    <mergeCell ref="AF22:AF23"/>
    <mergeCell ref="AG22:AG23"/>
    <mergeCell ref="BW22:BW23"/>
    <mergeCell ref="BX22:BX23"/>
    <mergeCell ref="BS24:BS25"/>
    <mergeCell ref="BW24:BW25"/>
    <mergeCell ref="BX24:BX25"/>
    <mergeCell ref="L24:L25"/>
    <mergeCell ref="N24:N25"/>
    <mergeCell ref="P24:P25"/>
    <mergeCell ref="R24:R25"/>
    <mergeCell ref="T24:T25"/>
    <mergeCell ref="V24:V25"/>
    <mergeCell ref="X24:X25"/>
    <mergeCell ref="AH22:AH23"/>
    <mergeCell ref="AI22:AI23"/>
    <mergeCell ref="AJ22:AJ23"/>
    <mergeCell ref="AK22:AK23"/>
    <mergeCell ref="AL22:AL23"/>
    <mergeCell ref="AM22:AM23"/>
    <mergeCell ref="AN22:AN23"/>
    <mergeCell ref="AH28:AH29"/>
    <mergeCell ref="AI28:AI29"/>
    <mergeCell ref="Z28:Z29"/>
    <mergeCell ref="AB28:AB29"/>
    <mergeCell ref="AC28:AC29"/>
    <mergeCell ref="AD28:AD29"/>
    <mergeCell ref="AE28:AE29"/>
    <mergeCell ref="AF28:AF29"/>
    <mergeCell ref="AG28:AG29"/>
    <mergeCell ref="AQ28:AQ29"/>
    <mergeCell ref="AR28:AR29"/>
    <mergeCell ref="AJ28:AJ29"/>
    <mergeCell ref="AK28:AK29"/>
    <mergeCell ref="AL28:AL29"/>
    <mergeCell ref="AM28:AM29"/>
    <mergeCell ref="AN28:AN29"/>
    <mergeCell ref="AO28:AO29"/>
    <mergeCell ref="AP28:AP29"/>
    <mergeCell ref="AS28:AS29"/>
    <mergeCell ref="AT28:AT29"/>
    <mergeCell ref="AU28:AU29"/>
    <mergeCell ref="AV28:AV29"/>
    <mergeCell ref="AW28:AW29"/>
    <mergeCell ref="AX28:AX29"/>
    <mergeCell ref="BM28:BM29"/>
    <mergeCell ref="CU28:CU29"/>
    <mergeCell ref="CY28:CY29"/>
    <mergeCell ref="CZ28:CZ29"/>
    <mergeCell ref="BN28:BN29"/>
    <mergeCell ref="BR28:BR29"/>
    <mergeCell ref="CE28:CE29"/>
    <mergeCell ref="CF28:CF29"/>
    <mergeCell ref="CO28:CO29"/>
    <mergeCell ref="CP28:CP29"/>
    <mergeCell ref="CT28:CT29"/>
    <mergeCell ref="AO30:AO31"/>
    <mergeCell ref="AP30:AP31"/>
    <mergeCell ref="AQ30:AQ31"/>
    <mergeCell ref="AR30:AR31"/>
    <mergeCell ref="AS30:AS31"/>
    <mergeCell ref="AT30:AT31"/>
    <mergeCell ref="AU30:AU31"/>
    <mergeCell ref="CE30:CE31"/>
    <mergeCell ref="CF30:CF31"/>
    <mergeCell ref="CO30:CO31"/>
    <mergeCell ref="CP30:CP31"/>
    <mergeCell ref="CT30:CT31"/>
    <mergeCell ref="CU30:CU31"/>
    <mergeCell ref="CY30:CY31"/>
    <mergeCell ref="CZ30:CZ31"/>
    <mergeCell ref="AV30:AV31"/>
    <mergeCell ref="AW30:AW31"/>
    <mergeCell ref="AX30:AX31"/>
    <mergeCell ref="BM30:BM31"/>
    <mergeCell ref="BN30:BN31"/>
    <mergeCell ref="BR30:BR31"/>
    <mergeCell ref="BS30:BS31"/>
    <mergeCell ref="B30:B31"/>
    <mergeCell ref="C30:C31"/>
    <mergeCell ref="D30:D31"/>
    <mergeCell ref="E30:E31"/>
    <mergeCell ref="F30:F31"/>
    <mergeCell ref="H30:H31"/>
    <mergeCell ref="J30:J31"/>
    <mergeCell ref="B32:B33"/>
    <mergeCell ref="C32:C33"/>
    <mergeCell ref="D32:D33"/>
    <mergeCell ref="E32:E33"/>
    <mergeCell ref="F32:F33"/>
    <mergeCell ref="H32:H33"/>
    <mergeCell ref="J32:J33"/>
    <mergeCell ref="Z32:Z33"/>
    <mergeCell ref="AB32:AB33"/>
    <mergeCell ref="AC32:AC33"/>
    <mergeCell ref="AD32:AD33"/>
    <mergeCell ref="AE32:AE33"/>
    <mergeCell ref="AF32:AF33"/>
    <mergeCell ref="AG32:AG33"/>
    <mergeCell ref="CU32:CU33"/>
    <mergeCell ref="CY32:CY33"/>
    <mergeCell ref="CZ32:CZ33"/>
    <mergeCell ref="AH32:AH33"/>
    <mergeCell ref="AI32:AI33"/>
    <mergeCell ref="CE32:CE33"/>
    <mergeCell ref="CF32:CF33"/>
    <mergeCell ref="CO32:CO33"/>
    <mergeCell ref="CP32:CP33"/>
    <mergeCell ref="CT32:CT33"/>
    <mergeCell ref="B22:B23"/>
    <mergeCell ref="C22:C23"/>
    <mergeCell ref="D22:D23"/>
    <mergeCell ref="E22:E23"/>
    <mergeCell ref="F22:F23"/>
    <mergeCell ref="H22:H23"/>
    <mergeCell ref="J22:J23"/>
    <mergeCell ref="B24:B25"/>
    <mergeCell ref="C24:C25"/>
    <mergeCell ref="D24:D25"/>
    <mergeCell ref="E24:E25"/>
    <mergeCell ref="F24:F25"/>
    <mergeCell ref="H24:H25"/>
    <mergeCell ref="J24:J25"/>
    <mergeCell ref="L26:L27"/>
    <mergeCell ref="N26:N27"/>
    <mergeCell ref="P26:P27"/>
    <mergeCell ref="R26:R27"/>
    <mergeCell ref="T26:T27"/>
    <mergeCell ref="V26:V27"/>
    <mergeCell ref="X26:X27"/>
    <mergeCell ref="Z26:Z27"/>
    <mergeCell ref="AB26:AB27"/>
    <mergeCell ref="AC26:AC27"/>
    <mergeCell ref="AD26:AD27"/>
    <mergeCell ref="AE26:AE27"/>
    <mergeCell ref="AF26:AF27"/>
    <mergeCell ref="AG26:AG27"/>
    <mergeCell ref="BW26:BW27"/>
    <mergeCell ref="BX26:BX27"/>
    <mergeCell ref="BS28:BS29"/>
    <mergeCell ref="BW28:BW29"/>
    <mergeCell ref="BX28:BX29"/>
    <mergeCell ref="L28:L29"/>
    <mergeCell ref="N28:N29"/>
    <mergeCell ref="P28:P29"/>
    <mergeCell ref="R28:R29"/>
    <mergeCell ref="T28:T29"/>
    <mergeCell ref="V28:V29"/>
    <mergeCell ref="X28:X29"/>
    <mergeCell ref="AH26:AH27"/>
    <mergeCell ref="AI26:AI27"/>
    <mergeCell ref="AJ26:AJ27"/>
    <mergeCell ref="AK26:AK27"/>
    <mergeCell ref="AL26:AL27"/>
    <mergeCell ref="AM26:AM27"/>
    <mergeCell ref="AN26:AN27"/>
    <mergeCell ref="AQ32:AQ33"/>
    <mergeCell ref="AR32:AR33"/>
    <mergeCell ref="AJ32:AJ33"/>
    <mergeCell ref="AK32:AK33"/>
    <mergeCell ref="AL32:AL33"/>
    <mergeCell ref="AM32:AM33"/>
    <mergeCell ref="AN32:AN33"/>
    <mergeCell ref="AO32:AO33"/>
    <mergeCell ref="AP32:AP33"/>
    <mergeCell ref="BN32:BN33"/>
    <mergeCell ref="BR32:BR33"/>
    <mergeCell ref="AS32:AS33"/>
    <mergeCell ref="AT32:AT33"/>
    <mergeCell ref="AU32:AU33"/>
    <mergeCell ref="AV32:AV33"/>
    <mergeCell ref="AW32:AW33"/>
    <mergeCell ref="AX32:AX33"/>
    <mergeCell ref="BM32:BM33"/>
    <mergeCell ref="B26:B27"/>
    <mergeCell ref="C26:C27"/>
    <mergeCell ref="D26:D27"/>
    <mergeCell ref="E26:E27"/>
    <mergeCell ref="F26:F27"/>
    <mergeCell ref="H26:H27"/>
    <mergeCell ref="J26:J27"/>
    <mergeCell ref="L30:L31"/>
    <mergeCell ref="N30:N31"/>
    <mergeCell ref="P30:P31"/>
    <mergeCell ref="R30:R31"/>
    <mergeCell ref="T30:T31"/>
    <mergeCell ref="V30:V31"/>
    <mergeCell ref="X30:X31"/>
    <mergeCell ref="Z30:Z31"/>
    <mergeCell ref="AB30:AB31"/>
    <mergeCell ref="AC30:AC31"/>
    <mergeCell ref="AD30:AD31"/>
    <mergeCell ref="AE30:AE31"/>
    <mergeCell ref="AF30:AF31"/>
    <mergeCell ref="AG30:AG31"/>
    <mergeCell ref="BW30:BW31"/>
    <mergeCell ref="BX30:BX31"/>
    <mergeCell ref="BS32:BS33"/>
    <mergeCell ref="BW32:BW33"/>
    <mergeCell ref="BX32:BX33"/>
    <mergeCell ref="L32:L33"/>
    <mergeCell ref="N32:N33"/>
    <mergeCell ref="P32:P33"/>
    <mergeCell ref="R32:R33"/>
    <mergeCell ref="T32:T33"/>
    <mergeCell ref="V32:V33"/>
    <mergeCell ref="X32:X33"/>
    <mergeCell ref="AH30:AH31"/>
    <mergeCell ref="AI30:AI31"/>
    <mergeCell ref="AJ30:AJ31"/>
    <mergeCell ref="AK30:AK31"/>
    <mergeCell ref="AL30:AL31"/>
    <mergeCell ref="AM30:AM31"/>
    <mergeCell ref="AN30:AN31"/>
    <mergeCell ref="B28:B29"/>
    <mergeCell ref="C28:C29"/>
    <mergeCell ref="D28:D29"/>
    <mergeCell ref="E28:E29"/>
    <mergeCell ref="F28:F29"/>
    <mergeCell ref="H28:H29"/>
    <mergeCell ref="J28:J29"/>
    <mergeCell ref="AJ36:AJ37"/>
    <mergeCell ref="AK36:AK37"/>
    <mergeCell ref="AC36:AC37"/>
    <mergeCell ref="AD36:AD37"/>
    <mergeCell ref="AE36:AE37"/>
    <mergeCell ref="AF36:AF37"/>
    <mergeCell ref="AG36:AG37"/>
    <mergeCell ref="AH36:AH37"/>
    <mergeCell ref="AI36:AI37"/>
    <mergeCell ref="AO38:AO39"/>
    <mergeCell ref="AP38:AP39"/>
    <mergeCell ref="AQ38:AQ39"/>
    <mergeCell ref="AR38:AR39"/>
    <mergeCell ref="AS38:AS39"/>
    <mergeCell ref="AT38:AT39"/>
    <mergeCell ref="AU38:AU39"/>
    <mergeCell ref="AV38:AV39"/>
    <mergeCell ref="AW38:AW39"/>
    <mergeCell ref="AX38:AX39"/>
    <mergeCell ref="BM38:BM39"/>
    <mergeCell ref="BN38:BN39"/>
    <mergeCell ref="BR38:BR39"/>
    <mergeCell ref="BS38:BS39"/>
    <mergeCell ref="CF38:CF39"/>
    <mergeCell ref="CO38:CO39"/>
    <mergeCell ref="CP38:CP39"/>
    <mergeCell ref="CT38:CT39"/>
    <mergeCell ref="CU38:CU39"/>
    <mergeCell ref="CY38:CY39"/>
    <mergeCell ref="CZ38:CZ39"/>
    <mergeCell ref="CY40:CY41"/>
    <mergeCell ref="CZ40:CZ41"/>
    <mergeCell ref="CE38:CE39"/>
    <mergeCell ref="CE40:CE41"/>
    <mergeCell ref="CF40:CF41"/>
    <mergeCell ref="CO40:CO41"/>
    <mergeCell ref="CP40:CP41"/>
    <mergeCell ref="CT40:CT41"/>
    <mergeCell ref="CU40:CU41"/>
    <mergeCell ref="AO42:AO43"/>
    <mergeCell ref="AP42:AP43"/>
    <mergeCell ref="AQ42:AQ43"/>
    <mergeCell ref="AR42:AR43"/>
    <mergeCell ref="AS42:AS43"/>
    <mergeCell ref="AT42:AT43"/>
    <mergeCell ref="AU42:AU43"/>
    <mergeCell ref="CE42:CE43"/>
    <mergeCell ref="CF42:CF43"/>
    <mergeCell ref="CO42:CO43"/>
    <mergeCell ref="CP42:CP43"/>
    <mergeCell ref="CT42:CT43"/>
    <mergeCell ref="CU42:CU43"/>
    <mergeCell ref="CY42:CY43"/>
    <mergeCell ref="CZ42:CZ43"/>
    <mergeCell ref="AV42:AV43"/>
    <mergeCell ref="AW42:AW43"/>
    <mergeCell ref="AX42:AX43"/>
    <mergeCell ref="BM42:BM43"/>
    <mergeCell ref="BN42:BN43"/>
    <mergeCell ref="BR42:BR43"/>
    <mergeCell ref="BS42:BS43"/>
    <mergeCell ref="A6:A7"/>
    <mergeCell ref="B6:B7"/>
    <mergeCell ref="C6:C7"/>
    <mergeCell ref="D6:D7"/>
    <mergeCell ref="E6:E7"/>
    <mergeCell ref="F6:F7"/>
    <mergeCell ref="H6:H7"/>
    <mergeCell ref="A8:A9"/>
    <mergeCell ref="B8:B9"/>
    <mergeCell ref="C8:C9"/>
    <mergeCell ref="D8:D9"/>
    <mergeCell ref="E8:E9"/>
    <mergeCell ref="F8:F9"/>
    <mergeCell ref="H8:H9"/>
    <mergeCell ref="B10:B11"/>
    <mergeCell ref="C10:C11"/>
    <mergeCell ref="D10:D11"/>
    <mergeCell ref="E10:E11"/>
    <mergeCell ref="F10:F11"/>
    <mergeCell ref="H10:H11"/>
    <mergeCell ref="J10:J11"/>
    <mergeCell ref="L10:L11"/>
    <mergeCell ref="N10:N11"/>
    <mergeCell ref="P10:P11"/>
    <mergeCell ref="R10:R11"/>
    <mergeCell ref="T10:T11"/>
    <mergeCell ref="V10:V11"/>
    <mergeCell ref="X10:X11"/>
    <mergeCell ref="Z10:Z11"/>
    <mergeCell ref="AB10:AB11"/>
    <mergeCell ref="AC10:AC11"/>
    <mergeCell ref="AD10:AD11"/>
    <mergeCell ref="AE10:AE11"/>
    <mergeCell ref="AF10:AF11"/>
    <mergeCell ref="AG10:AG11"/>
    <mergeCell ref="AH10:AH11"/>
    <mergeCell ref="AI10:AI11"/>
    <mergeCell ref="AJ10:AJ11"/>
    <mergeCell ref="AK10:AK11"/>
    <mergeCell ref="AL10:AL11"/>
    <mergeCell ref="AM10:AM11"/>
    <mergeCell ref="AN10:AN11"/>
    <mergeCell ref="CY10:CY11"/>
    <mergeCell ref="CZ10:CZ11"/>
    <mergeCell ref="Z3:AD3"/>
    <mergeCell ref="AB4:AB5"/>
    <mergeCell ref="AC4:AC5"/>
    <mergeCell ref="AD4:AD5"/>
    <mergeCell ref="AE4:AE5"/>
    <mergeCell ref="AF4:AF5"/>
    <mergeCell ref="AG4:AG5"/>
    <mergeCell ref="Z5:AA5"/>
    <mergeCell ref="R5:S5"/>
    <mergeCell ref="T5:U5"/>
    <mergeCell ref="V5:W5"/>
    <mergeCell ref="X5:Y5"/>
    <mergeCell ref="Q3:Y3"/>
    <mergeCell ref="A4:A5"/>
    <mergeCell ref="B4:B5"/>
    <mergeCell ref="C4:C5"/>
    <mergeCell ref="D4:D5"/>
    <mergeCell ref="E4:E5"/>
    <mergeCell ref="F4:AA4"/>
    <mergeCell ref="J6:J7"/>
    <mergeCell ref="L6:L7"/>
    <mergeCell ref="N6:N7"/>
    <mergeCell ref="P6:P7"/>
    <mergeCell ref="R6:R7"/>
    <mergeCell ref="T6:T7"/>
    <mergeCell ref="V6:V7"/>
    <mergeCell ref="X6:X7"/>
    <mergeCell ref="Z6:Z7"/>
    <mergeCell ref="AB6:AB7"/>
    <mergeCell ref="AC6:AC7"/>
    <mergeCell ref="AD6:AD7"/>
    <mergeCell ref="AE6:AE7"/>
    <mergeCell ref="AF6:AF7"/>
    <mergeCell ref="J8:J9"/>
    <mergeCell ref="L8:L9"/>
    <mergeCell ref="N8:N9"/>
    <mergeCell ref="P8:P9"/>
    <mergeCell ref="R8:R9"/>
    <mergeCell ref="T8:T9"/>
    <mergeCell ref="V8:V9"/>
    <mergeCell ref="AZ3:BB3"/>
    <mergeCell ref="BC3:BD3"/>
    <mergeCell ref="BK3:BK4"/>
    <mergeCell ref="AZ4:BA4"/>
    <mergeCell ref="BC4:BD4"/>
    <mergeCell ref="BE4:BF4"/>
    <mergeCell ref="BG4:BH4"/>
    <mergeCell ref="BI4:BJ4"/>
    <mergeCell ref="B1:W1"/>
    <mergeCell ref="X1:AD1"/>
    <mergeCell ref="B2:D2"/>
    <mergeCell ref="E2:AD2"/>
    <mergeCell ref="CI2:CJ2"/>
    <mergeCell ref="CV2:CW2"/>
    <mergeCell ref="B3:P3"/>
    <mergeCell ref="AO4:AO5"/>
    <mergeCell ref="AP4:AP5"/>
    <mergeCell ref="AQ4:AQ5"/>
    <mergeCell ref="AR4:AR5"/>
    <mergeCell ref="AS4:AS5"/>
    <mergeCell ref="AH4:AH5"/>
    <mergeCell ref="AI4:AI5"/>
    <mergeCell ref="AJ4:AJ5"/>
    <mergeCell ref="AK4:AK5"/>
    <mergeCell ref="AL4:AL5"/>
    <mergeCell ref="AM4:AM5"/>
    <mergeCell ref="AN4:AN5"/>
    <mergeCell ref="F5:G5"/>
    <mergeCell ref="H5:I5"/>
    <mergeCell ref="J5:K5"/>
    <mergeCell ref="L5:M5"/>
    <mergeCell ref="N5:O5"/>
    <mergeCell ref="P5:Q5"/>
    <mergeCell ref="AG6:AG7"/>
    <mergeCell ref="AH6:AH7"/>
    <mergeCell ref="AI6:AI7"/>
    <mergeCell ref="AJ6:AJ7"/>
    <mergeCell ref="AK6:AK7"/>
    <mergeCell ref="AL6:AL7"/>
    <mergeCell ref="AM6:AM7"/>
    <mergeCell ref="AN6:AN7"/>
    <mergeCell ref="AO6:AO7"/>
    <mergeCell ref="AP6:AP7"/>
    <mergeCell ref="AQ6:AQ7"/>
    <mergeCell ref="AR6:AR7"/>
    <mergeCell ref="AS6:AS7"/>
    <mergeCell ref="AT6:AT7"/>
    <mergeCell ref="AU6:AU7"/>
    <mergeCell ref="AV6:AV7"/>
    <mergeCell ref="AW6:AW7"/>
    <mergeCell ref="AX6:AX7"/>
    <mergeCell ref="BM6:BM7"/>
    <mergeCell ref="BN6:BN7"/>
    <mergeCell ref="BR6:BR7"/>
    <mergeCell ref="CO6:CO7"/>
    <mergeCell ref="CP6:CP7"/>
    <mergeCell ref="CT6:CT7"/>
    <mergeCell ref="CU6:CU7"/>
    <mergeCell ref="CY6:CY7"/>
    <mergeCell ref="CZ6:CZ7"/>
    <mergeCell ref="DD6:DD7"/>
    <mergeCell ref="BS6:BS7"/>
    <mergeCell ref="BW6:BW7"/>
    <mergeCell ref="BX6:BX7"/>
    <mergeCell ref="CE6:CE7"/>
    <mergeCell ref="CF6:CF7"/>
    <mergeCell ref="CJ6:CJ7"/>
    <mergeCell ref="CK6:CK7"/>
    <mergeCell ref="X8:X9"/>
    <mergeCell ref="Z8:Z9"/>
    <mergeCell ref="AB8:AB9"/>
    <mergeCell ref="AC8:AC9"/>
    <mergeCell ref="AD8:AD9"/>
    <mergeCell ref="AE8:AE9"/>
    <mergeCell ref="AF8:AF9"/>
    <mergeCell ref="AG8:AG9"/>
    <mergeCell ref="AH8:AH9"/>
    <mergeCell ref="AI8:AI9"/>
    <mergeCell ref="AJ8:AJ9"/>
    <mergeCell ref="AK8:AK9"/>
    <mergeCell ref="AL8:AL9"/>
    <mergeCell ref="AM8:AM9"/>
    <mergeCell ref="AN8:AN9"/>
    <mergeCell ref="AO8:AO9"/>
    <mergeCell ref="AP8:AP9"/>
    <mergeCell ref="AQ8:AQ9"/>
    <mergeCell ref="AR8:AR9"/>
    <mergeCell ref="AS8:AS9"/>
    <mergeCell ref="AT8:AT9"/>
    <mergeCell ref="AU8:AU9"/>
    <mergeCell ref="AV8:AV9"/>
    <mergeCell ref="AW8:AW9"/>
    <mergeCell ref="AX8:AX9"/>
    <mergeCell ref="BM8:BM9"/>
    <mergeCell ref="BN8:BN9"/>
    <mergeCell ref="BR8:BR9"/>
    <mergeCell ref="AY9:BG9"/>
    <mergeCell ref="CT8:CT9"/>
    <mergeCell ref="CU8:CU9"/>
    <mergeCell ref="CY8:CY9"/>
    <mergeCell ref="CZ8:CZ9"/>
    <mergeCell ref="BS8:BS9"/>
    <mergeCell ref="BW8:BW9"/>
    <mergeCell ref="BX8:BX9"/>
    <mergeCell ref="CE8:CE9"/>
    <mergeCell ref="CF8:CF9"/>
    <mergeCell ref="CO8:CO9"/>
    <mergeCell ref="CP8:CP9"/>
    <mergeCell ref="AO10:AO11"/>
    <mergeCell ref="AP10:AP11"/>
    <mergeCell ref="AQ10:AQ11"/>
    <mergeCell ref="AR10:AR11"/>
    <mergeCell ref="AS10:AS11"/>
    <mergeCell ref="AT10:AT11"/>
    <mergeCell ref="AU10:AU11"/>
    <mergeCell ref="AV10:AV11"/>
    <mergeCell ref="AW10:AW11"/>
    <mergeCell ref="AX10:AX11"/>
    <mergeCell ref="AY10:AZ10"/>
    <mergeCell ref="BA10:BB10"/>
    <mergeCell ref="BC10:BD10"/>
    <mergeCell ref="BE10:BF10"/>
    <mergeCell ref="BI10:BJ10"/>
    <mergeCell ref="BK10:BL10"/>
    <mergeCell ref="BM10:BM11"/>
    <mergeCell ref="BN10:BN11"/>
    <mergeCell ref="BR10:BR11"/>
    <mergeCell ref="BS10:BS11"/>
    <mergeCell ref="BW10:BW11"/>
    <mergeCell ref="BI11:BL11"/>
    <mergeCell ref="BX10:BX11"/>
    <mergeCell ref="CE10:CE11"/>
    <mergeCell ref="CF10:CF11"/>
    <mergeCell ref="CO10:CO11"/>
    <mergeCell ref="CP10:CP11"/>
    <mergeCell ref="CT10:CT11"/>
    <mergeCell ref="CU10:CU11"/>
    <mergeCell ref="B12:B13"/>
    <mergeCell ref="C12:C13"/>
    <mergeCell ref="D12:D13"/>
    <mergeCell ref="E12:E13"/>
    <mergeCell ref="F12:F13"/>
    <mergeCell ref="H12:H13"/>
    <mergeCell ref="J12:J13"/>
    <mergeCell ref="L12:L13"/>
    <mergeCell ref="N12:N13"/>
    <mergeCell ref="P12:P13"/>
    <mergeCell ref="R12:R13"/>
    <mergeCell ref="T12:T13"/>
    <mergeCell ref="V12:V13"/>
    <mergeCell ref="X12:X13"/>
    <mergeCell ref="Z12:Z13"/>
    <mergeCell ref="AB12:AB13"/>
    <mergeCell ref="AC12:AC13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M12:AM13"/>
    <mergeCell ref="AN12:AN13"/>
    <mergeCell ref="AO12:AO13"/>
    <mergeCell ref="AP12:AP13"/>
    <mergeCell ref="AQ12:AQ13"/>
    <mergeCell ref="AR12:AR13"/>
    <mergeCell ref="AS12:AS13"/>
    <mergeCell ref="AT12:AT13"/>
    <mergeCell ref="AU12:AU13"/>
    <mergeCell ref="AV12:AV13"/>
    <mergeCell ref="AW12:AW13"/>
    <mergeCell ref="AX12:AX13"/>
    <mergeCell ref="BI12:BJ12"/>
    <mergeCell ref="BK12:BL12"/>
    <mergeCell ref="BM12:BM13"/>
    <mergeCell ref="BN12:BN13"/>
    <mergeCell ref="CP12:CP13"/>
    <mergeCell ref="CT12:CT13"/>
    <mergeCell ref="CU12:CU13"/>
    <mergeCell ref="CY12:CY13"/>
    <mergeCell ref="CZ12:CZ13"/>
    <mergeCell ref="BR12:BR13"/>
    <mergeCell ref="BS12:BS13"/>
    <mergeCell ref="BW12:BW13"/>
    <mergeCell ref="BX12:BX13"/>
    <mergeCell ref="CE12:CE13"/>
    <mergeCell ref="CF12:CF13"/>
    <mergeCell ref="CO12:CO13"/>
    <mergeCell ref="Z16:Z17"/>
    <mergeCell ref="AB16:AB17"/>
    <mergeCell ref="L16:L17"/>
    <mergeCell ref="N16:N17"/>
    <mergeCell ref="P16:P17"/>
    <mergeCell ref="R16:R17"/>
    <mergeCell ref="T16:T17"/>
    <mergeCell ref="V16:V17"/>
    <mergeCell ref="X16:X17"/>
    <mergeCell ref="AJ16:AJ17"/>
    <mergeCell ref="AK16:AK17"/>
    <mergeCell ref="AC16:AC17"/>
    <mergeCell ref="AD16:AD17"/>
    <mergeCell ref="AE16:AE17"/>
    <mergeCell ref="AF16:AF17"/>
    <mergeCell ref="AG16:AG17"/>
    <mergeCell ref="AH16:AH17"/>
    <mergeCell ref="AI16:AI17"/>
    <mergeCell ref="AS16:AS17"/>
    <mergeCell ref="AT16:AT17"/>
    <mergeCell ref="AL16:AL17"/>
    <mergeCell ref="AM16:AM17"/>
    <mergeCell ref="AN16:AN17"/>
    <mergeCell ref="AO16:AO17"/>
    <mergeCell ref="AP16:AP17"/>
    <mergeCell ref="AQ16:AQ17"/>
    <mergeCell ref="AR16:AR17"/>
    <mergeCell ref="AU16:AU17"/>
    <mergeCell ref="AV16:AV17"/>
    <mergeCell ref="AW16:AW17"/>
    <mergeCell ref="AX16:AX17"/>
    <mergeCell ref="BM16:BM17"/>
    <mergeCell ref="BN16:BN17"/>
    <mergeCell ref="BR16:BR17"/>
    <mergeCell ref="BS16:BS17"/>
    <mergeCell ref="BW16:BW17"/>
    <mergeCell ref="BM18:BM19"/>
    <mergeCell ref="BN18:BN19"/>
    <mergeCell ref="BR18:BR19"/>
    <mergeCell ref="BS18:BS19"/>
    <mergeCell ref="BW18:BW19"/>
    <mergeCell ref="CY18:CY19"/>
    <mergeCell ref="CZ18:CZ19"/>
    <mergeCell ref="BX18:BX19"/>
    <mergeCell ref="CE18:CE19"/>
    <mergeCell ref="CF18:CF19"/>
    <mergeCell ref="CO18:CO19"/>
    <mergeCell ref="CP18:CP19"/>
    <mergeCell ref="CT18:CT19"/>
    <mergeCell ref="CU18:CU19"/>
    <mergeCell ref="CO14:CO15"/>
    <mergeCell ref="CO16:CO17"/>
    <mergeCell ref="CT14:CT15"/>
    <mergeCell ref="CT16:CT17"/>
    <mergeCell ref="BW14:BW15"/>
    <mergeCell ref="BX14:BX15"/>
    <mergeCell ref="CF14:CF15"/>
    <mergeCell ref="CP14:CP15"/>
    <mergeCell ref="BX16:BX17"/>
    <mergeCell ref="CF16:CF17"/>
    <mergeCell ref="CP16:CP17"/>
    <mergeCell ref="AV14:AV15"/>
    <mergeCell ref="AW14:AW15"/>
    <mergeCell ref="AX14:AX15"/>
    <mergeCell ref="BM14:BM15"/>
    <mergeCell ref="BN14:BN15"/>
    <mergeCell ref="BR14:BR15"/>
    <mergeCell ref="BS14:BS15"/>
    <mergeCell ref="CU14:CU15"/>
    <mergeCell ref="CY14:CY15"/>
    <mergeCell ref="CZ14:CZ15"/>
    <mergeCell ref="CU16:CU17"/>
    <mergeCell ref="CY16:CY17"/>
    <mergeCell ref="CZ16:CZ17"/>
    <mergeCell ref="B16:B17"/>
    <mergeCell ref="C16:C17"/>
    <mergeCell ref="D16:D17"/>
    <mergeCell ref="E16:E17"/>
    <mergeCell ref="F16:F17"/>
    <mergeCell ref="H16:H17"/>
    <mergeCell ref="J16:J17"/>
    <mergeCell ref="Z14:Z15"/>
    <mergeCell ref="AB14:AB15"/>
    <mergeCell ref="AC14:AC15"/>
    <mergeCell ref="AD14:AD15"/>
    <mergeCell ref="AE14:AE15"/>
    <mergeCell ref="AF14:AF15"/>
    <mergeCell ref="AG14:AG15"/>
    <mergeCell ref="AH14:AH15"/>
    <mergeCell ref="AI14:AI15"/>
    <mergeCell ref="AJ14:AJ15"/>
    <mergeCell ref="AK14:AK15"/>
    <mergeCell ref="AL14:AL15"/>
    <mergeCell ref="AM14:AM15"/>
    <mergeCell ref="AN14:AN15"/>
    <mergeCell ref="AO14:AO15"/>
    <mergeCell ref="AP14:AP15"/>
    <mergeCell ref="AQ14:AQ15"/>
    <mergeCell ref="AR14:AR15"/>
    <mergeCell ref="AS14:AS15"/>
    <mergeCell ref="AT14:AT15"/>
    <mergeCell ref="AU14:AU15"/>
    <mergeCell ref="CE14:CE15"/>
    <mergeCell ref="CE16:CE17"/>
    <mergeCell ref="Z20:Z21"/>
    <mergeCell ref="AB20:AB21"/>
    <mergeCell ref="L20:L21"/>
    <mergeCell ref="N20:N21"/>
    <mergeCell ref="P20:P21"/>
    <mergeCell ref="R20:R21"/>
    <mergeCell ref="T20:T21"/>
    <mergeCell ref="V20:V21"/>
    <mergeCell ref="X20:X21"/>
    <mergeCell ref="AC20:AC21"/>
    <mergeCell ref="AD20:AD21"/>
    <mergeCell ref="AE20:AE21"/>
    <mergeCell ref="AF20:AF21"/>
    <mergeCell ref="AG20:AG21"/>
    <mergeCell ref="AH20:AH21"/>
    <mergeCell ref="AI20:AI21"/>
    <mergeCell ref="AJ20:AJ21"/>
    <mergeCell ref="AK20:AK21"/>
    <mergeCell ref="BM20:BM21"/>
    <mergeCell ref="BN20:BN21"/>
    <mergeCell ref="BR20:BR21"/>
    <mergeCell ref="BS20:BS21"/>
    <mergeCell ref="BW20:BW21"/>
    <mergeCell ref="CY20:CY21"/>
    <mergeCell ref="CZ20:CZ21"/>
    <mergeCell ref="BX20:BX21"/>
    <mergeCell ref="CE20:CE21"/>
    <mergeCell ref="CF20:CF21"/>
    <mergeCell ref="CO20:CO21"/>
    <mergeCell ref="CP20:CP21"/>
    <mergeCell ref="CT20:CT21"/>
    <mergeCell ref="CU20:CU21"/>
    <mergeCell ref="AS20:AS21"/>
    <mergeCell ref="AT20:AT21"/>
    <mergeCell ref="AL20:AL21"/>
    <mergeCell ref="AM20:AM21"/>
    <mergeCell ref="AN20:AN21"/>
    <mergeCell ref="AO20:AO21"/>
    <mergeCell ref="AP20:AP21"/>
    <mergeCell ref="AQ20:AQ21"/>
    <mergeCell ref="AR20:AR21"/>
    <mergeCell ref="L14:L15"/>
    <mergeCell ref="N14:N15"/>
    <mergeCell ref="P14:P15"/>
    <mergeCell ref="R14:R15"/>
    <mergeCell ref="T14:T15"/>
    <mergeCell ref="V14:V15"/>
    <mergeCell ref="X14:X15"/>
    <mergeCell ref="B14:B15"/>
    <mergeCell ref="C14:C15"/>
    <mergeCell ref="D14:D15"/>
    <mergeCell ref="E14:E15"/>
    <mergeCell ref="F14:F15"/>
    <mergeCell ref="H14:H15"/>
    <mergeCell ref="J14:J15"/>
    <mergeCell ref="AV18:AV19"/>
    <mergeCell ref="AW18:AW19"/>
    <mergeCell ref="AX18:AX19"/>
    <mergeCell ref="AU20:AU21"/>
    <mergeCell ref="AV20:AV21"/>
    <mergeCell ref="AW20:AW21"/>
    <mergeCell ref="AX20:AX21"/>
    <mergeCell ref="AO18:AO19"/>
    <mergeCell ref="AP18:AP19"/>
    <mergeCell ref="AQ18:AQ19"/>
    <mergeCell ref="AR18:AR19"/>
    <mergeCell ref="AS18:AS19"/>
    <mergeCell ref="AT18:AT19"/>
    <mergeCell ref="AU18:AU19"/>
    <mergeCell ref="B20:B21"/>
    <mergeCell ref="C20:C21"/>
    <mergeCell ref="D20:D21"/>
    <mergeCell ref="E20:E21"/>
    <mergeCell ref="F20:F21"/>
    <mergeCell ref="H20:H21"/>
    <mergeCell ref="J20:J21"/>
    <mergeCell ref="Z18:Z19"/>
    <mergeCell ref="AB18:AB19"/>
    <mergeCell ref="AC18:AC19"/>
    <mergeCell ref="AD18:AD19"/>
    <mergeCell ref="AE18:AE19"/>
    <mergeCell ref="AF18:AF19"/>
    <mergeCell ref="AG18:AG19"/>
    <mergeCell ref="AH18:AH19"/>
    <mergeCell ref="AI18:AI19"/>
    <mergeCell ref="AJ18:AJ19"/>
    <mergeCell ref="AK18:AK19"/>
    <mergeCell ref="AL18:AL19"/>
    <mergeCell ref="AM18:AM19"/>
    <mergeCell ref="AN18:AN19"/>
    <mergeCell ref="AO22:AO23"/>
    <mergeCell ref="AP22:AP23"/>
    <mergeCell ref="AQ22:AQ23"/>
    <mergeCell ref="AR22:AR23"/>
    <mergeCell ref="AS22:AS23"/>
    <mergeCell ref="AT22:AT23"/>
    <mergeCell ref="AU22:AU23"/>
    <mergeCell ref="CE22:CE23"/>
    <mergeCell ref="CF22:CF23"/>
    <mergeCell ref="CO22:CO23"/>
    <mergeCell ref="CP22:CP23"/>
    <mergeCell ref="CT22:CT23"/>
    <mergeCell ref="CU22:CU23"/>
    <mergeCell ref="CY22:CY23"/>
    <mergeCell ref="CZ22:CZ23"/>
    <mergeCell ref="AV22:AV23"/>
    <mergeCell ref="AW22:AW23"/>
    <mergeCell ref="AX22:AX23"/>
    <mergeCell ref="BM22:BM23"/>
    <mergeCell ref="BN22:BN23"/>
    <mergeCell ref="BR22:BR23"/>
    <mergeCell ref="BS22:BS23"/>
    <mergeCell ref="AH24:AH25"/>
    <mergeCell ref="AI24:AI25"/>
    <mergeCell ref="Z24:Z25"/>
    <mergeCell ref="AB24:AB25"/>
    <mergeCell ref="AC24:AC25"/>
    <mergeCell ref="AD24:AD25"/>
    <mergeCell ref="AE24:AE25"/>
    <mergeCell ref="AF24:AF25"/>
    <mergeCell ref="AG24:AG25"/>
    <mergeCell ref="AQ24:AQ25"/>
    <mergeCell ref="AR24:AR25"/>
    <mergeCell ref="AJ24:AJ25"/>
    <mergeCell ref="AK24:AK25"/>
    <mergeCell ref="AL24:AL25"/>
    <mergeCell ref="AM24:AM25"/>
    <mergeCell ref="AN24:AN25"/>
    <mergeCell ref="AO24:AO25"/>
    <mergeCell ref="AP24:AP25"/>
    <mergeCell ref="AS24:AS25"/>
    <mergeCell ref="AT24:AT25"/>
    <mergeCell ref="AU24:AU25"/>
    <mergeCell ref="AV24:AV25"/>
    <mergeCell ref="AW24:AW25"/>
    <mergeCell ref="AX24:AX25"/>
    <mergeCell ref="BM24:BM25"/>
    <mergeCell ref="CU24:CU25"/>
    <mergeCell ref="CY24:CY25"/>
    <mergeCell ref="CZ24:CZ25"/>
    <mergeCell ref="BN24:BN25"/>
    <mergeCell ref="BR24:BR25"/>
    <mergeCell ref="CE24:CE25"/>
    <mergeCell ref="CF24:CF25"/>
    <mergeCell ref="CO24:CO25"/>
    <mergeCell ref="CP24:CP25"/>
    <mergeCell ref="CT24:CT25"/>
    <mergeCell ref="AO26:AO27"/>
    <mergeCell ref="AP26:AP27"/>
    <mergeCell ref="AQ26:AQ27"/>
    <mergeCell ref="AR26:AR27"/>
    <mergeCell ref="AS26:AS27"/>
    <mergeCell ref="AT26:AT27"/>
    <mergeCell ref="AU26:AU27"/>
    <mergeCell ref="CE26:CE27"/>
    <mergeCell ref="CF26:CF27"/>
    <mergeCell ref="CO26:CO27"/>
    <mergeCell ref="CP26:CP27"/>
    <mergeCell ref="CT26:CT27"/>
    <mergeCell ref="CU26:CU27"/>
    <mergeCell ref="CY26:CY27"/>
    <mergeCell ref="CZ26:CZ27"/>
    <mergeCell ref="AV26:AV27"/>
    <mergeCell ref="AW26:AW27"/>
    <mergeCell ref="AX26:AX27"/>
    <mergeCell ref="BM26:BM27"/>
    <mergeCell ref="BN26:BN27"/>
    <mergeCell ref="BR26:BR27"/>
    <mergeCell ref="BS26:BS27"/>
    <mergeCell ref="L34:L35"/>
    <mergeCell ref="N34:N35"/>
    <mergeCell ref="P34:P35"/>
    <mergeCell ref="R34:R35"/>
    <mergeCell ref="T34:T35"/>
    <mergeCell ref="V34:V35"/>
    <mergeCell ref="X34:X35"/>
    <mergeCell ref="B34:B35"/>
    <mergeCell ref="C34:C35"/>
    <mergeCell ref="D34:D35"/>
    <mergeCell ref="E34:E35"/>
    <mergeCell ref="F34:F35"/>
    <mergeCell ref="H34:H35"/>
    <mergeCell ref="J34:J35"/>
    <mergeCell ref="BS36:BS37"/>
    <mergeCell ref="BW36:BW37"/>
    <mergeCell ref="AU36:AU37"/>
    <mergeCell ref="AV36:AV37"/>
    <mergeCell ref="AW36:AW37"/>
    <mergeCell ref="AX36:AX37"/>
    <mergeCell ref="BM36:BM37"/>
    <mergeCell ref="BN36:BN37"/>
    <mergeCell ref="BR36:BR37"/>
    <mergeCell ref="CO34:CO35"/>
    <mergeCell ref="CO36:CO37"/>
    <mergeCell ref="CT34:CT35"/>
    <mergeCell ref="CT36:CT37"/>
    <mergeCell ref="BW34:BW35"/>
    <mergeCell ref="BX34:BX35"/>
    <mergeCell ref="CF34:CF35"/>
    <mergeCell ref="CP34:CP35"/>
    <mergeCell ref="BX36:BX37"/>
    <mergeCell ref="CF36:CF37"/>
    <mergeCell ref="CP36:CP37"/>
    <mergeCell ref="AV34:AV35"/>
    <mergeCell ref="AW34:AW35"/>
    <mergeCell ref="AX34:AX35"/>
    <mergeCell ref="BM34:BM35"/>
    <mergeCell ref="BN34:BN35"/>
    <mergeCell ref="BR34:BR35"/>
    <mergeCell ref="BS34:BS35"/>
    <mergeCell ref="CU34:CU35"/>
    <mergeCell ref="CY34:CY35"/>
    <mergeCell ref="CZ34:CZ35"/>
    <mergeCell ref="CU36:CU37"/>
    <mergeCell ref="CY36:CY37"/>
    <mergeCell ref="CZ36:CZ37"/>
    <mergeCell ref="B36:B37"/>
    <mergeCell ref="C36:C37"/>
    <mergeCell ref="D36:D37"/>
    <mergeCell ref="E36:E37"/>
    <mergeCell ref="F36:F37"/>
    <mergeCell ref="H36:H37"/>
    <mergeCell ref="J36:J37"/>
    <mergeCell ref="Z34:Z35"/>
    <mergeCell ref="AB34:AB35"/>
    <mergeCell ref="AC34:AC35"/>
    <mergeCell ref="AD34:AD35"/>
    <mergeCell ref="AE34:AE35"/>
    <mergeCell ref="AF34:AF35"/>
    <mergeCell ref="AG34:AG35"/>
    <mergeCell ref="AH34:AH35"/>
    <mergeCell ref="AI34:AI35"/>
    <mergeCell ref="AJ34:AJ35"/>
    <mergeCell ref="AK34:AK35"/>
    <mergeCell ref="AL34:AL35"/>
    <mergeCell ref="AM34:AM35"/>
    <mergeCell ref="AN34:AN35"/>
    <mergeCell ref="AO34:AO35"/>
    <mergeCell ref="AP34:AP35"/>
    <mergeCell ref="AQ34:AQ35"/>
    <mergeCell ref="AR34:AR35"/>
    <mergeCell ref="AS34:AS35"/>
    <mergeCell ref="AT34:AT35"/>
    <mergeCell ref="AU34:AU35"/>
    <mergeCell ref="CE34:CE35"/>
    <mergeCell ref="CE36:CE37"/>
    <mergeCell ref="AH44:AH45"/>
    <mergeCell ref="AI44:AI45"/>
    <mergeCell ref="Z44:Z45"/>
    <mergeCell ref="AB44:AB45"/>
    <mergeCell ref="AC44:AC45"/>
    <mergeCell ref="AD44:AD45"/>
    <mergeCell ref="AE44:AE45"/>
    <mergeCell ref="AF44:AF45"/>
    <mergeCell ref="AG44:AG45"/>
    <mergeCell ref="AQ44:AQ45"/>
    <mergeCell ref="AR44:AR45"/>
    <mergeCell ref="AJ44:AJ45"/>
    <mergeCell ref="AK44:AK45"/>
    <mergeCell ref="AL44:AL45"/>
    <mergeCell ref="AM44:AM45"/>
    <mergeCell ref="AN44:AN45"/>
    <mergeCell ref="AO44:AO45"/>
    <mergeCell ref="AP44:AP45"/>
    <mergeCell ref="AS44:AS45"/>
    <mergeCell ref="AT44:AT45"/>
    <mergeCell ref="AU44:AU45"/>
    <mergeCell ref="AV44:AV45"/>
    <mergeCell ref="AW44:AW45"/>
    <mergeCell ref="AX44:AX45"/>
    <mergeCell ref="BM44:BM45"/>
    <mergeCell ref="CU44:CU45"/>
    <mergeCell ref="CY44:CY45"/>
    <mergeCell ref="CZ44:CZ45"/>
    <mergeCell ref="BN44:BN45"/>
    <mergeCell ref="BR44:BR45"/>
    <mergeCell ref="CE44:CE45"/>
    <mergeCell ref="CF44:CF45"/>
    <mergeCell ref="CO44:CO45"/>
    <mergeCell ref="CP44:CP45"/>
    <mergeCell ref="CT44:CT45"/>
    <mergeCell ref="AO46:AO47"/>
    <mergeCell ref="AP46:AP47"/>
    <mergeCell ref="AQ46:AQ47"/>
    <mergeCell ref="AR46:AR47"/>
    <mergeCell ref="AS46:AS47"/>
    <mergeCell ref="AT46:AT47"/>
    <mergeCell ref="AU46:AU47"/>
    <mergeCell ref="CE46:CE47"/>
    <mergeCell ref="CF46:CF47"/>
    <mergeCell ref="CO46:CO47"/>
    <mergeCell ref="CP46:CP47"/>
    <mergeCell ref="CT46:CT47"/>
    <mergeCell ref="CU46:CU47"/>
    <mergeCell ref="CY46:CY47"/>
    <mergeCell ref="CZ46:CZ47"/>
    <mergeCell ref="AV46:AV47"/>
    <mergeCell ref="AW46:AW47"/>
    <mergeCell ref="AX46:AX47"/>
    <mergeCell ref="BM46:BM47"/>
    <mergeCell ref="BN46:BN47"/>
    <mergeCell ref="BR46:BR47"/>
    <mergeCell ref="BS46:BS47"/>
    <mergeCell ref="B46:B47"/>
    <mergeCell ref="C46:C47"/>
    <mergeCell ref="D46:D47"/>
    <mergeCell ref="E46:E47"/>
    <mergeCell ref="F46:F47"/>
    <mergeCell ref="H46:H47"/>
    <mergeCell ref="J46:J47"/>
    <mergeCell ref="B48:B49"/>
    <mergeCell ref="C48:C49"/>
    <mergeCell ref="D48:D49"/>
    <mergeCell ref="E48:E49"/>
    <mergeCell ref="F48:F49"/>
    <mergeCell ref="H48:H49"/>
    <mergeCell ref="J48:J49"/>
    <mergeCell ref="AH48:AH49"/>
    <mergeCell ref="AI48:AI49"/>
    <mergeCell ref="Z48:Z49"/>
    <mergeCell ref="AB48:AB49"/>
    <mergeCell ref="AC48:AC49"/>
    <mergeCell ref="AD48:AD49"/>
    <mergeCell ref="AE48:AE49"/>
    <mergeCell ref="AF48:AF49"/>
    <mergeCell ref="AG48:AG49"/>
    <mergeCell ref="AJ48:AJ49"/>
    <mergeCell ref="AK48:AK49"/>
    <mergeCell ref="AL48:AL49"/>
    <mergeCell ref="AM48:AM49"/>
    <mergeCell ref="AN48:AN49"/>
    <mergeCell ref="AO48:AO49"/>
    <mergeCell ref="AP48:AP49"/>
    <mergeCell ref="CU48:CU49"/>
    <mergeCell ref="CY48:CY49"/>
    <mergeCell ref="CZ48:CZ49"/>
    <mergeCell ref="AQ48:AQ49"/>
    <mergeCell ref="AR48:AR49"/>
    <mergeCell ref="CE48:CE49"/>
    <mergeCell ref="CF48:CF49"/>
    <mergeCell ref="CO48:CO49"/>
    <mergeCell ref="CP48:CP49"/>
    <mergeCell ref="CT48:CT49"/>
    <mergeCell ref="BS52:BS53"/>
    <mergeCell ref="BW52:BW53"/>
    <mergeCell ref="AU52:AU53"/>
    <mergeCell ref="AV52:AV53"/>
    <mergeCell ref="AW52:AW53"/>
    <mergeCell ref="AX52:AX53"/>
    <mergeCell ref="BM52:BM53"/>
    <mergeCell ref="BN52:BN53"/>
    <mergeCell ref="BR52:BR53"/>
    <mergeCell ref="AV50:AV51"/>
    <mergeCell ref="AW50:AW51"/>
    <mergeCell ref="AX50:AX51"/>
    <mergeCell ref="BM50:BM51"/>
    <mergeCell ref="BN50:BN51"/>
    <mergeCell ref="BR50:BR51"/>
    <mergeCell ref="BS50:BS51"/>
    <mergeCell ref="CU50:CU51"/>
    <mergeCell ref="CY50:CY51"/>
    <mergeCell ref="CZ50:CZ51"/>
    <mergeCell ref="B52:B53"/>
    <mergeCell ref="C52:C53"/>
    <mergeCell ref="D52:D53"/>
    <mergeCell ref="E52:E53"/>
    <mergeCell ref="F52:F53"/>
    <mergeCell ref="H52:H53"/>
    <mergeCell ref="J52:J53"/>
    <mergeCell ref="Z50:Z51"/>
    <mergeCell ref="AB50:AB51"/>
    <mergeCell ref="AC50:AC51"/>
    <mergeCell ref="AD50:AD51"/>
    <mergeCell ref="AE50:AE51"/>
    <mergeCell ref="AF50:AF51"/>
    <mergeCell ref="AG50:AG51"/>
    <mergeCell ref="AH50:AH51"/>
    <mergeCell ref="AI50:AI51"/>
    <mergeCell ref="AJ50:AJ51"/>
    <mergeCell ref="AK50:AK51"/>
    <mergeCell ref="AL50:AL51"/>
    <mergeCell ref="AM50:AM51"/>
    <mergeCell ref="AN50:AN51"/>
    <mergeCell ref="AO50:AO51"/>
    <mergeCell ref="AP50:AP51"/>
    <mergeCell ref="AQ50:AQ51"/>
    <mergeCell ref="AR50:AR51"/>
    <mergeCell ref="AS50:AS51"/>
    <mergeCell ref="AT50:AT51"/>
    <mergeCell ref="AU50:AU51"/>
    <mergeCell ref="CE52:CE53"/>
    <mergeCell ref="CF52:CF53"/>
    <mergeCell ref="CO52:CO53"/>
    <mergeCell ref="CP52:CP53"/>
    <mergeCell ref="CT52:CT53"/>
    <mergeCell ref="CU52:CU53"/>
    <mergeCell ref="CY52:CY53"/>
    <mergeCell ref="CZ52:CZ53"/>
    <mergeCell ref="BW50:BW51"/>
    <mergeCell ref="BX50:BX51"/>
    <mergeCell ref="CE50:CE51"/>
    <mergeCell ref="CF50:CF51"/>
    <mergeCell ref="CO50:CO51"/>
    <mergeCell ref="CP50:CP51"/>
    <mergeCell ref="CT50:CT51"/>
    <mergeCell ref="AH71:AH72"/>
    <mergeCell ref="AI71:AI72"/>
    <mergeCell ref="Z71:Z72"/>
    <mergeCell ref="AB71:AB72"/>
    <mergeCell ref="AC71:AC72"/>
    <mergeCell ref="AD71:AD72"/>
    <mergeCell ref="AE71:AE72"/>
    <mergeCell ref="AF71:AF72"/>
    <mergeCell ref="AG71:AG72"/>
    <mergeCell ref="AQ71:AQ72"/>
    <mergeCell ref="AR71:AR72"/>
    <mergeCell ref="AJ71:AJ72"/>
    <mergeCell ref="AK71:AK72"/>
    <mergeCell ref="AL71:AL72"/>
    <mergeCell ref="AM71:AM72"/>
    <mergeCell ref="AN71:AN72"/>
    <mergeCell ref="AO71:AO72"/>
    <mergeCell ref="AP71:AP72"/>
    <mergeCell ref="BN71:BN72"/>
    <mergeCell ref="BR71:BR72"/>
    <mergeCell ref="CE71:CE72"/>
    <mergeCell ref="CF71:CF72"/>
    <mergeCell ref="CO71:CO72"/>
    <mergeCell ref="CP71:CP72"/>
    <mergeCell ref="CT71:CT72"/>
    <mergeCell ref="CU71:CU72"/>
    <mergeCell ref="AS71:AS72"/>
    <mergeCell ref="AT71:AT72"/>
    <mergeCell ref="AU71:AU72"/>
    <mergeCell ref="AV71:AV72"/>
    <mergeCell ref="AW71:AW72"/>
    <mergeCell ref="AX71:AX72"/>
    <mergeCell ref="BM71:BM72"/>
    <mergeCell ref="AO73:AO74"/>
    <mergeCell ref="AP73:AP74"/>
    <mergeCell ref="AQ73:AQ74"/>
    <mergeCell ref="AR73:AR74"/>
    <mergeCell ref="AS73:AS74"/>
    <mergeCell ref="AT73:AT74"/>
    <mergeCell ref="AU73:AU74"/>
    <mergeCell ref="CE73:CE74"/>
    <mergeCell ref="CF73:CF74"/>
    <mergeCell ref="CO73:CO74"/>
    <mergeCell ref="CP73:CP74"/>
    <mergeCell ref="CT73:CT74"/>
    <mergeCell ref="CU73:CU74"/>
    <mergeCell ref="AV73:AV74"/>
    <mergeCell ref="AW73:AW74"/>
    <mergeCell ref="AX73:AX74"/>
    <mergeCell ref="BM73:BM74"/>
    <mergeCell ref="BN73:BN74"/>
    <mergeCell ref="BR73:BR74"/>
    <mergeCell ref="BS73:BS74"/>
    <mergeCell ref="B73:B74"/>
    <mergeCell ref="C73:C74"/>
    <mergeCell ref="D73:D74"/>
    <mergeCell ref="E73:E74"/>
    <mergeCell ref="F73:F74"/>
    <mergeCell ref="H73:H74"/>
    <mergeCell ref="J73:J74"/>
    <mergeCell ref="B75:B76"/>
    <mergeCell ref="C75:C76"/>
    <mergeCell ref="D75:D76"/>
    <mergeCell ref="E75:E76"/>
    <mergeCell ref="F75:F76"/>
    <mergeCell ref="H75:H76"/>
    <mergeCell ref="J75:J76"/>
    <mergeCell ref="AH75:AH76"/>
    <mergeCell ref="AI75:AI76"/>
    <mergeCell ref="Z75:Z76"/>
    <mergeCell ref="AB75:AB76"/>
    <mergeCell ref="AC75:AC76"/>
    <mergeCell ref="AD75:AD76"/>
    <mergeCell ref="AE75:AE76"/>
    <mergeCell ref="AF75:AF76"/>
    <mergeCell ref="AG75:AG76"/>
    <mergeCell ref="AQ75:AQ76"/>
    <mergeCell ref="AR75:AR76"/>
    <mergeCell ref="CE75:CE76"/>
    <mergeCell ref="CF75:CF76"/>
    <mergeCell ref="CO75:CO76"/>
    <mergeCell ref="CP75:CP76"/>
    <mergeCell ref="CT75:CT76"/>
    <mergeCell ref="CU75:CU76"/>
    <mergeCell ref="AJ75:AJ76"/>
    <mergeCell ref="AK75:AK76"/>
    <mergeCell ref="AL75:AL76"/>
    <mergeCell ref="AM75:AM76"/>
    <mergeCell ref="AN75:AN76"/>
    <mergeCell ref="AO75:AO76"/>
    <mergeCell ref="AP75:AP76"/>
    <mergeCell ref="B65:B66"/>
    <mergeCell ref="C65:C66"/>
    <mergeCell ref="D65:D66"/>
    <mergeCell ref="E65:E66"/>
    <mergeCell ref="F65:F66"/>
    <mergeCell ref="H65:H66"/>
    <mergeCell ref="J65:J66"/>
    <mergeCell ref="B67:B68"/>
    <mergeCell ref="C67:C68"/>
    <mergeCell ref="D67:D68"/>
    <mergeCell ref="E67:E68"/>
    <mergeCell ref="F67:F68"/>
    <mergeCell ref="H67:H68"/>
    <mergeCell ref="J67:J68"/>
    <mergeCell ref="L69:L70"/>
    <mergeCell ref="N69:N70"/>
    <mergeCell ref="P69:P70"/>
    <mergeCell ref="R69:R70"/>
    <mergeCell ref="T69:T70"/>
    <mergeCell ref="V69:V70"/>
    <mergeCell ref="X69:X70"/>
    <mergeCell ref="Z69:Z70"/>
    <mergeCell ref="AB69:AB70"/>
    <mergeCell ref="AC69:AC70"/>
    <mergeCell ref="AD69:AD70"/>
    <mergeCell ref="AE69:AE70"/>
    <mergeCell ref="AF69:AF70"/>
    <mergeCell ref="AG69:AG70"/>
    <mergeCell ref="BW69:BW70"/>
    <mergeCell ref="BX69:BX70"/>
    <mergeCell ref="BS71:BS72"/>
    <mergeCell ref="BW71:BW72"/>
    <mergeCell ref="BX71:BX72"/>
    <mergeCell ref="L71:L72"/>
    <mergeCell ref="N71:N72"/>
    <mergeCell ref="P71:P72"/>
    <mergeCell ref="R71:R72"/>
    <mergeCell ref="T71:T72"/>
    <mergeCell ref="V71:V72"/>
    <mergeCell ref="X71:X72"/>
    <mergeCell ref="AH69:AH70"/>
    <mergeCell ref="AI69:AI70"/>
    <mergeCell ref="AJ69:AJ70"/>
    <mergeCell ref="AK69:AK70"/>
    <mergeCell ref="AL69:AL70"/>
    <mergeCell ref="AM69:AM70"/>
    <mergeCell ref="AN69:AN70"/>
    <mergeCell ref="BN75:BN76"/>
    <mergeCell ref="BR75:BR76"/>
    <mergeCell ref="AS75:AS76"/>
    <mergeCell ref="AT75:AT76"/>
    <mergeCell ref="AU75:AU76"/>
    <mergeCell ref="AV75:AV76"/>
    <mergeCell ref="AW75:AW76"/>
    <mergeCell ref="AX75:AX76"/>
    <mergeCell ref="BM75:BM76"/>
    <mergeCell ref="B69:B70"/>
    <mergeCell ref="C69:C70"/>
    <mergeCell ref="D69:D70"/>
    <mergeCell ref="E69:E70"/>
    <mergeCell ref="F69:F70"/>
    <mergeCell ref="H69:H70"/>
    <mergeCell ref="J69:J70"/>
    <mergeCell ref="L73:L74"/>
    <mergeCell ref="N73:N74"/>
    <mergeCell ref="P73:P74"/>
    <mergeCell ref="R73:R74"/>
    <mergeCell ref="T73:T74"/>
    <mergeCell ref="V73:V74"/>
    <mergeCell ref="X73:X74"/>
    <mergeCell ref="Z73:Z74"/>
    <mergeCell ref="AB73:AB74"/>
    <mergeCell ref="AC73:AC74"/>
    <mergeCell ref="AD73:AD74"/>
    <mergeCell ref="AE73:AE74"/>
    <mergeCell ref="AF73:AF74"/>
    <mergeCell ref="AG73:AG74"/>
    <mergeCell ref="BW73:BW74"/>
    <mergeCell ref="BX73:BX74"/>
    <mergeCell ref="BS75:BS76"/>
    <mergeCell ref="BW75:BW76"/>
    <mergeCell ref="BX75:BX76"/>
    <mergeCell ref="L75:L76"/>
    <mergeCell ref="N75:N76"/>
    <mergeCell ref="P75:P76"/>
    <mergeCell ref="R75:R76"/>
    <mergeCell ref="T75:T76"/>
    <mergeCell ref="V75:V76"/>
    <mergeCell ref="X75:X76"/>
    <mergeCell ref="AH73:AH74"/>
    <mergeCell ref="AI73:AI74"/>
    <mergeCell ref="AJ73:AJ74"/>
    <mergeCell ref="AK73:AK74"/>
    <mergeCell ref="AL73:AL74"/>
    <mergeCell ref="AM73:AM74"/>
    <mergeCell ref="AN73:AN74"/>
    <mergeCell ref="B71:B72"/>
    <mergeCell ref="C71:C72"/>
    <mergeCell ref="D71:D72"/>
    <mergeCell ref="E71:E72"/>
    <mergeCell ref="F71:F72"/>
    <mergeCell ref="H71:H72"/>
    <mergeCell ref="J71:J72"/>
    <mergeCell ref="AH79:AH80"/>
    <mergeCell ref="AI79:AI80"/>
    <mergeCell ref="Z79:Z80"/>
    <mergeCell ref="AB79:AB80"/>
    <mergeCell ref="AC79:AC80"/>
    <mergeCell ref="AD79:AD80"/>
    <mergeCell ref="AE79:AE80"/>
    <mergeCell ref="AF79:AF80"/>
    <mergeCell ref="AG79:AG80"/>
    <mergeCell ref="AQ79:AQ80"/>
    <mergeCell ref="AR79:AR80"/>
    <mergeCell ref="AJ79:AJ80"/>
    <mergeCell ref="AK79:AK80"/>
    <mergeCell ref="AL79:AL80"/>
    <mergeCell ref="AM79:AM80"/>
    <mergeCell ref="AN79:AN80"/>
    <mergeCell ref="AO79:AO80"/>
    <mergeCell ref="AP79:AP80"/>
    <mergeCell ref="AS79:AS80"/>
    <mergeCell ref="AT79:AT80"/>
    <mergeCell ref="AU79:AU80"/>
    <mergeCell ref="AV79:AV80"/>
    <mergeCell ref="AW79:AW80"/>
    <mergeCell ref="AX79:AX80"/>
    <mergeCell ref="BM79:BM80"/>
    <mergeCell ref="BX81:BX82"/>
    <mergeCell ref="CE81:CE82"/>
    <mergeCell ref="CF81:CF82"/>
    <mergeCell ref="CO81:CO82"/>
    <mergeCell ref="CP81:CP82"/>
    <mergeCell ref="CT81:CT82"/>
    <mergeCell ref="CU81:CU82"/>
    <mergeCell ref="BN79:BN80"/>
    <mergeCell ref="BR79:BR80"/>
    <mergeCell ref="BM81:BM82"/>
    <mergeCell ref="BN81:BN82"/>
    <mergeCell ref="BR81:BR82"/>
    <mergeCell ref="BS81:BS82"/>
    <mergeCell ref="BW81:BW82"/>
    <mergeCell ref="B79:B80"/>
    <mergeCell ref="C79:C80"/>
    <mergeCell ref="D79:D80"/>
    <mergeCell ref="E79:E80"/>
    <mergeCell ref="F79:F80"/>
    <mergeCell ref="H79:H80"/>
    <mergeCell ref="J79:J80"/>
    <mergeCell ref="B81:B82"/>
    <mergeCell ref="C81:C82"/>
    <mergeCell ref="D81:D82"/>
    <mergeCell ref="E81:E82"/>
    <mergeCell ref="F81:F82"/>
    <mergeCell ref="H81:H82"/>
    <mergeCell ref="J81:J82"/>
    <mergeCell ref="AS36:AS37"/>
    <mergeCell ref="AT36:AT37"/>
    <mergeCell ref="AL36:AL37"/>
    <mergeCell ref="AM36:AM37"/>
    <mergeCell ref="AN36:AN37"/>
    <mergeCell ref="AO36:AO37"/>
    <mergeCell ref="AP36:AP37"/>
    <mergeCell ref="AQ36:AQ37"/>
    <mergeCell ref="AR36:AR37"/>
    <mergeCell ref="AH40:AH41"/>
    <mergeCell ref="AI40:AI41"/>
    <mergeCell ref="Z40:Z41"/>
    <mergeCell ref="AB40:AB41"/>
    <mergeCell ref="AC40:AC41"/>
    <mergeCell ref="AD40:AD41"/>
    <mergeCell ref="AE40:AE41"/>
    <mergeCell ref="AF40:AF41"/>
    <mergeCell ref="AG40:AG41"/>
    <mergeCell ref="AQ40:AQ41"/>
    <mergeCell ref="AR40:AR41"/>
    <mergeCell ref="AJ40:AJ41"/>
    <mergeCell ref="AK40:AK41"/>
    <mergeCell ref="AL40:AL41"/>
    <mergeCell ref="AM40:AM41"/>
    <mergeCell ref="AN40:AN41"/>
    <mergeCell ref="AO40:AO41"/>
    <mergeCell ref="AP40:AP41"/>
    <mergeCell ref="BN40:BN41"/>
    <mergeCell ref="BR40:BR41"/>
    <mergeCell ref="AS40:AS41"/>
    <mergeCell ref="AT40:AT41"/>
    <mergeCell ref="AU40:AU41"/>
    <mergeCell ref="AV40:AV41"/>
    <mergeCell ref="AW40:AW41"/>
    <mergeCell ref="AX40:AX41"/>
    <mergeCell ref="BM40:BM41"/>
    <mergeCell ref="Z36:Z37"/>
    <mergeCell ref="AB36:AB37"/>
    <mergeCell ref="L36:L37"/>
    <mergeCell ref="N36:N37"/>
    <mergeCell ref="P36:P37"/>
    <mergeCell ref="R36:R37"/>
    <mergeCell ref="T36:T37"/>
    <mergeCell ref="V36:V37"/>
    <mergeCell ref="X36:X37"/>
    <mergeCell ref="L38:L39"/>
    <mergeCell ref="N38:N39"/>
    <mergeCell ref="P38:P39"/>
    <mergeCell ref="R38:R39"/>
    <mergeCell ref="T38:T39"/>
    <mergeCell ref="V38:V39"/>
    <mergeCell ref="X38:X39"/>
    <mergeCell ref="Z38:Z39"/>
    <mergeCell ref="AB38:AB39"/>
    <mergeCell ref="AC38:AC39"/>
    <mergeCell ref="AD38:AD39"/>
    <mergeCell ref="AE38:AE39"/>
    <mergeCell ref="AF38:AF39"/>
    <mergeCell ref="AG38:AG39"/>
    <mergeCell ref="BW38:BW39"/>
    <mergeCell ref="BX38:BX39"/>
    <mergeCell ref="BS40:BS41"/>
    <mergeCell ref="BW40:BW41"/>
    <mergeCell ref="BX40:BX41"/>
    <mergeCell ref="L40:L41"/>
    <mergeCell ref="N40:N41"/>
    <mergeCell ref="P40:P41"/>
    <mergeCell ref="R40:R41"/>
    <mergeCell ref="T40:T41"/>
    <mergeCell ref="V40:V41"/>
    <mergeCell ref="X40:X41"/>
    <mergeCell ref="AH38:AH39"/>
    <mergeCell ref="AI38:AI39"/>
    <mergeCell ref="AJ38:AJ39"/>
    <mergeCell ref="AK38:AK39"/>
    <mergeCell ref="AL38:AL39"/>
    <mergeCell ref="AM38:AM39"/>
    <mergeCell ref="AN38:AN39"/>
    <mergeCell ref="B38:B39"/>
    <mergeCell ref="C38:C39"/>
    <mergeCell ref="D38:D39"/>
    <mergeCell ref="E38:E39"/>
    <mergeCell ref="F38:F39"/>
    <mergeCell ref="H38:H39"/>
    <mergeCell ref="J38:J39"/>
    <mergeCell ref="B40:B41"/>
    <mergeCell ref="C40:C41"/>
    <mergeCell ref="D40:D41"/>
    <mergeCell ref="E40:E41"/>
    <mergeCell ref="F40:F41"/>
    <mergeCell ref="H40:H41"/>
    <mergeCell ref="J40:J41"/>
    <mergeCell ref="L42:L43"/>
    <mergeCell ref="N42:N43"/>
    <mergeCell ref="P42:P43"/>
    <mergeCell ref="R42:R43"/>
    <mergeCell ref="T42:T43"/>
    <mergeCell ref="V42:V43"/>
    <mergeCell ref="X42:X43"/>
    <mergeCell ref="Z42:Z43"/>
    <mergeCell ref="AB42:AB43"/>
    <mergeCell ref="AC42:AC43"/>
    <mergeCell ref="AD42:AD43"/>
    <mergeCell ref="AE42:AE43"/>
    <mergeCell ref="AF42:AF43"/>
    <mergeCell ref="AG42:AG43"/>
    <mergeCell ref="BW42:BW43"/>
    <mergeCell ref="BX42:BX43"/>
    <mergeCell ref="BS44:BS45"/>
    <mergeCell ref="BW44:BW45"/>
    <mergeCell ref="BX44:BX45"/>
    <mergeCell ref="L44:L45"/>
    <mergeCell ref="N44:N45"/>
    <mergeCell ref="P44:P45"/>
    <mergeCell ref="R44:R45"/>
    <mergeCell ref="T44:T45"/>
    <mergeCell ref="V44:V45"/>
    <mergeCell ref="X44:X45"/>
    <mergeCell ref="AH42:AH43"/>
    <mergeCell ref="AI42:AI43"/>
    <mergeCell ref="AJ42:AJ43"/>
    <mergeCell ref="AK42:AK43"/>
    <mergeCell ref="AL42:AL43"/>
    <mergeCell ref="AM42:AM43"/>
    <mergeCell ref="AN42:AN43"/>
    <mergeCell ref="BM48:BM49"/>
    <mergeCell ref="BN48:BN49"/>
    <mergeCell ref="AS48:AS49"/>
    <mergeCell ref="AT48:AT49"/>
    <mergeCell ref="AU48:AU49"/>
    <mergeCell ref="AV48:AV49"/>
    <mergeCell ref="AW48:AW49"/>
    <mergeCell ref="AX48:AX49"/>
    <mergeCell ref="BB48:BC48"/>
    <mergeCell ref="B42:B43"/>
    <mergeCell ref="C42:C43"/>
    <mergeCell ref="D42:D43"/>
    <mergeCell ref="E42:E43"/>
    <mergeCell ref="F42:F43"/>
    <mergeCell ref="H42:H43"/>
    <mergeCell ref="J42:J43"/>
    <mergeCell ref="L46:L47"/>
    <mergeCell ref="N46:N47"/>
    <mergeCell ref="P46:P47"/>
    <mergeCell ref="R46:R47"/>
    <mergeCell ref="T46:T47"/>
    <mergeCell ref="V46:V47"/>
    <mergeCell ref="X46:X47"/>
    <mergeCell ref="Z46:Z47"/>
    <mergeCell ref="AB46:AB47"/>
    <mergeCell ref="AC46:AC47"/>
    <mergeCell ref="AD46:AD47"/>
    <mergeCell ref="AE46:AE47"/>
    <mergeCell ref="AF46:AF47"/>
    <mergeCell ref="AG46:AG47"/>
    <mergeCell ref="BW46:BW47"/>
    <mergeCell ref="BX46:BX47"/>
    <mergeCell ref="BR48:BR49"/>
    <mergeCell ref="BS48:BS49"/>
    <mergeCell ref="BW48:BW49"/>
    <mergeCell ref="BX48:BX49"/>
    <mergeCell ref="L48:L49"/>
    <mergeCell ref="N48:N49"/>
    <mergeCell ref="P48:P49"/>
    <mergeCell ref="R48:R49"/>
    <mergeCell ref="T48:T49"/>
    <mergeCell ref="V48:V49"/>
    <mergeCell ref="X48:X49"/>
    <mergeCell ref="AH46:AH47"/>
    <mergeCell ref="AI46:AI47"/>
    <mergeCell ref="AJ46:AJ47"/>
    <mergeCell ref="AK46:AK47"/>
    <mergeCell ref="AL46:AL47"/>
    <mergeCell ref="AM46:AM47"/>
    <mergeCell ref="AN46:AN47"/>
    <mergeCell ref="B44:B45"/>
    <mergeCell ref="C44:C45"/>
    <mergeCell ref="D44:D45"/>
    <mergeCell ref="E44:E45"/>
    <mergeCell ref="F44:F45"/>
    <mergeCell ref="H44:H45"/>
    <mergeCell ref="J44:J45"/>
    <mergeCell ref="AJ52:AJ53"/>
    <mergeCell ref="AK52:AK53"/>
    <mergeCell ref="AC52:AC53"/>
    <mergeCell ref="AD52:AD53"/>
    <mergeCell ref="AE52:AE53"/>
    <mergeCell ref="AF52:AF53"/>
    <mergeCell ref="AG52:AG53"/>
    <mergeCell ref="AH52:AH53"/>
    <mergeCell ref="AI52:AI53"/>
    <mergeCell ref="AS52:AS53"/>
    <mergeCell ref="AT52:AT53"/>
    <mergeCell ref="BX52:BX53"/>
    <mergeCell ref="AL52:AL53"/>
    <mergeCell ref="AM52:AM53"/>
    <mergeCell ref="AN52:AN53"/>
    <mergeCell ref="AO52:AO53"/>
    <mergeCell ref="AP52:AP53"/>
    <mergeCell ref="AQ52:AQ53"/>
    <mergeCell ref="AR52:AR53"/>
    <mergeCell ref="AO54:AO55"/>
    <mergeCell ref="AP54:AP55"/>
    <mergeCell ref="AQ54:AQ55"/>
    <mergeCell ref="AR54:AR55"/>
    <mergeCell ref="AS54:AS55"/>
    <mergeCell ref="AT54:AT55"/>
    <mergeCell ref="AU54:AU55"/>
    <mergeCell ref="CE54:CE55"/>
    <mergeCell ref="CF54:CF55"/>
    <mergeCell ref="CO54:CO55"/>
    <mergeCell ref="CP54:CP55"/>
    <mergeCell ref="CT54:CT55"/>
    <mergeCell ref="CU54:CU55"/>
    <mergeCell ref="CY54:CY55"/>
    <mergeCell ref="CZ54:CZ55"/>
    <mergeCell ref="AV54:AV55"/>
    <mergeCell ref="AW54:AW55"/>
    <mergeCell ref="AX54:AX55"/>
    <mergeCell ref="BM54:BM55"/>
    <mergeCell ref="BN54:BN55"/>
    <mergeCell ref="BR54:BR55"/>
    <mergeCell ref="BS54:BS55"/>
    <mergeCell ref="AO56:AO57"/>
    <mergeCell ref="AP56:AP57"/>
    <mergeCell ref="AQ56:AQ57"/>
    <mergeCell ref="AR56:AR57"/>
    <mergeCell ref="AS56:AS57"/>
    <mergeCell ref="AT56:AT57"/>
    <mergeCell ref="AU56:AU57"/>
    <mergeCell ref="CE56:CE57"/>
    <mergeCell ref="CF56:CF57"/>
    <mergeCell ref="CO56:CO57"/>
    <mergeCell ref="CP56:CP57"/>
    <mergeCell ref="CT56:CT57"/>
    <mergeCell ref="CU56:CU57"/>
    <mergeCell ref="CY56:CY57"/>
    <mergeCell ref="CZ56:CZ57"/>
    <mergeCell ref="AV56:AV57"/>
    <mergeCell ref="AW56:AW57"/>
    <mergeCell ref="AX56:AX57"/>
    <mergeCell ref="BM56:BM57"/>
    <mergeCell ref="BN56:BN57"/>
    <mergeCell ref="BR56:BR57"/>
    <mergeCell ref="BS56:BS57"/>
    <mergeCell ref="Z52:Z53"/>
    <mergeCell ref="AB52:AB53"/>
    <mergeCell ref="L52:L53"/>
    <mergeCell ref="N52:N53"/>
    <mergeCell ref="P52:P53"/>
    <mergeCell ref="R52:R53"/>
    <mergeCell ref="T52:T53"/>
    <mergeCell ref="V52:V53"/>
    <mergeCell ref="X52:X53"/>
    <mergeCell ref="B54:B55"/>
    <mergeCell ref="C54:C55"/>
    <mergeCell ref="D54:D55"/>
    <mergeCell ref="E54:E55"/>
    <mergeCell ref="F54:F55"/>
    <mergeCell ref="H54:H55"/>
    <mergeCell ref="J54:J55"/>
    <mergeCell ref="L54:L55"/>
    <mergeCell ref="N54:N55"/>
    <mergeCell ref="P54:P55"/>
    <mergeCell ref="R54:R55"/>
    <mergeCell ref="T54:T55"/>
    <mergeCell ref="V54:V55"/>
    <mergeCell ref="X54:X55"/>
    <mergeCell ref="Z54:Z55"/>
    <mergeCell ref="AB54:AB55"/>
    <mergeCell ref="AC54:AC55"/>
    <mergeCell ref="AD54:AD55"/>
    <mergeCell ref="AE54:AE55"/>
    <mergeCell ref="AF54:AF55"/>
    <mergeCell ref="AG54:AG55"/>
    <mergeCell ref="AH54:AH55"/>
    <mergeCell ref="AI54:AI55"/>
    <mergeCell ref="AJ54:AJ55"/>
    <mergeCell ref="AK54:AK55"/>
    <mergeCell ref="AL54:AL55"/>
    <mergeCell ref="AM54:AM55"/>
    <mergeCell ref="AN54:AN55"/>
    <mergeCell ref="BW54:BW55"/>
    <mergeCell ref="BX54:BX55"/>
    <mergeCell ref="AH58:AH59"/>
    <mergeCell ref="AI58:AI59"/>
    <mergeCell ref="Z58:Z59"/>
    <mergeCell ref="AB58:AB59"/>
    <mergeCell ref="AC58:AC59"/>
    <mergeCell ref="AD58:AD59"/>
    <mergeCell ref="AE58:AE59"/>
    <mergeCell ref="AF58:AF59"/>
    <mergeCell ref="AG58:AG59"/>
    <mergeCell ref="AQ58:AQ59"/>
    <mergeCell ref="AR58:AR59"/>
    <mergeCell ref="AJ58:AJ59"/>
    <mergeCell ref="AK58:AK59"/>
    <mergeCell ref="AL58:AL59"/>
    <mergeCell ref="AM58:AM59"/>
    <mergeCell ref="AN58:AN59"/>
    <mergeCell ref="AO58:AO59"/>
    <mergeCell ref="AP58:AP59"/>
    <mergeCell ref="AS58:AS59"/>
    <mergeCell ref="AT58:AT59"/>
    <mergeCell ref="AU58:AU59"/>
    <mergeCell ref="AV58:AV59"/>
    <mergeCell ref="AW58:AW59"/>
    <mergeCell ref="AX58:AX59"/>
    <mergeCell ref="BM58:BM59"/>
    <mergeCell ref="CU58:CU59"/>
    <mergeCell ref="CY58:CY59"/>
    <mergeCell ref="CZ58:CZ59"/>
    <mergeCell ref="BN58:BN59"/>
    <mergeCell ref="BR58:BR59"/>
    <mergeCell ref="CE58:CE59"/>
    <mergeCell ref="CF58:CF59"/>
    <mergeCell ref="CO58:CO59"/>
    <mergeCell ref="CP58:CP59"/>
    <mergeCell ref="CT58:CT59"/>
    <mergeCell ref="AO60:AO61"/>
    <mergeCell ref="AP60:AP61"/>
    <mergeCell ref="AQ60:AQ61"/>
    <mergeCell ref="AR60:AR61"/>
    <mergeCell ref="AS60:AS61"/>
    <mergeCell ref="AT60:AT61"/>
    <mergeCell ref="AU60:AU61"/>
    <mergeCell ref="CE60:CE61"/>
    <mergeCell ref="CF60:CF61"/>
    <mergeCell ref="CO60:CO61"/>
    <mergeCell ref="CP60:CP61"/>
    <mergeCell ref="CT60:CT61"/>
    <mergeCell ref="CU60:CU61"/>
    <mergeCell ref="CY60:CY61"/>
    <mergeCell ref="CZ60:CZ61"/>
    <mergeCell ref="AV60:AV61"/>
    <mergeCell ref="AW60:AW61"/>
    <mergeCell ref="AX60:AX61"/>
    <mergeCell ref="BM60:BM61"/>
    <mergeCell ref="BN60:BN61"/>
    <mergeCell ref="BR60:BR61"/>
    <mergeCell ref="BS60:BS61"/>
    <mergeCell ref="B60:B61"/>
    <mergeCell ref="C60:C61"/>
    <mergeCell ref="D60:D61"/>
    <mergeCell ref="E60:E61"/>
    <mergeCell ref="F60:F61"/>
    <mergeCell ref="H60:H61"/>
    <mergeCell ref="J60:J61"/>
    <mergeCell ref="B62:B63"/>
    <mergeCell ref="C62:C63"/>
    <mergeCell ref="D62:D63"/>
    <mergeCell ref="E62:E63"/>
    <mergeCell ref="F62:F63"/>
    <mergeCell ref="H62:H63"/>
    <mergeCell ref="J62:J63"/>
    <mergeCell ref="Z62:Z63"/>
    <mergeCell ref="AB62:AB63"/>
    <mergeCell ref="AC62:AC63"/>
    <mergeCell ref="AD62:AD63"/>
    <mergeCell ref="AE62:AE63"/>
    <mergeCell ref="AF62:AF63"/>
    <mergeCell ref="AG62:AG63"/>
    <mergeCell ref="CU62:CU63"/>
    <mergeCell ref="CY62:CY63"/>
    <mergeCell ref="CZ62:CZ63"/>
    <mergeCell ref="AH62:AH63"/>
    <mergeCell ref="AI62:AI63"/>
    <mergeCell ref="CE62:CE63"/>
    <mergeCell ref="CF62:CF63"/>
    <mergeCell ref="CO62:CO63"/>
    <mergeCell ref="CP62:CP63"/>
    <mergeCell ref="CT62:CT63"/>
    <mergeCell ref="AW65:AW66"/>
    <mergeCell ref="AX65:AX66"/>
    <mergeCell ref="BM65:BM66"/>
    <mergeCell ref="BN65:BN66"/>
    <mergeCell ref="BR65:BR66"/>
    <mergeCell ref="BS65:BS66"/>
    <mergeCell ref="BW65:BW66"/>
    <mergeCell ref="BX65:BX66"/>
    <mergeCell ref="CE65:CE66"/>
    <mergeCell ref="CF65:CF66"/>
    <mergeCell ref="CO65:CO66"/>
    <mergeCell ref="CP65:CP66"/>
    <mergeCell ref="CT65:CT66"/>
    <mergeCell ref="CU65:CU66"/>
    <mergeCell ref="BR67:BR68"/>
    <mergeCell ref="BS67:BS68"/>
    <mergeCell ref="CO69:CO70"/>
    <mergeCell ref="CP69:CP70"/>
    <mergeCell ref="CT69:CT70"/>
    <mergeCell ref="CU69:CU70"/>
    <mergeCell ref="AT67:AT68"/>
    <mergeCell ref="AU67:AU68"/>
    <mergeCell ref="AV67:AV68"/>
    <mergeCell ref="AW67:AW68"/>
    <mergeCell ref="AX67:AX68"/>
    <mergeCell ref="BM67:BM68"/>
    <mergeCell ref="BN67:BN68"/>
    <mergeCell ref="L62:L63"/>
    <mergeCell ref="L65:L66"/>
    <mergeCell ref="L67:L68"/>
    <mergeCell ref="N65:N66"/>
    <mergeCell ref="P65:P66"/>
    <mergeCell ref="R65:R66"/>
    <mergeCell ref="T65:T66"/>
    <mergeCell ref="V65:V66"/>
    <mergeCell ref="X65:X66"/>
    <mergeCell ref="Z65:Z66"/>
    <mergeCell ref="AB65:AB66"/>
    <mergeCell ref="AC65:AC66"/>
    <mergeCell ref="AD65:AD66"/>
    <mergeCell ref="AE65:AE66"/>
    <mergeCell ref="AF65:AF66"/>
    <mergeCell ref="AG65:AG66"/>
    <mergeCell ref="AH65:AH66"/>
    <mergeCell ref="CY65:CY66"/>
    <mergeCell ref="CZ65:CZ66"/>
    <mergeCell ref="AI65:AI66"/>
    <mergeCell ref="AJ65:AJ66"/>
    <mergeCell ref="AK65:AK66"/>
    <mergeCell ref="AL65:AL66"/>
    <mergeCell ref="AM65:AM66"/>
    <mergeCell ref="AN65:AN66"/>
    <mergeCell ref="AO65:AO66"/>
    <mergeCell ref="AP65:AP66"/>
    <mergeCell ref="AQ65:AQ66"/>
    <mergeCell ref="AR65:AR66"/>
    <mergeCell ref="AS65:AS66"/>
    <mergeCell ref="AT65:AT66"/>
    <mergeCell ref="AU65:AU66"/>
    <mergeCell ref="AV65:AV66"/>
    <mergeCell ref="BW67:BW68"/>
    <mergeCell ref="BX67:BX68"/>
    <mergeCell ref="CE67:CE68"/>
    <mergeCell ref="CF67:CF68"/>
    <mergeCell ref="CO67:CO68"/>
    <mergeCell ref="CP67:CP68"/>
    <mergeCell ref="CT67:CT68"/>
    <mergeCell ref="CU67:CU68"/>
    <mergeCell ref="N67:N68"/>
    <mergeCell ref="P67:P68"/>
    <mergeCell ref="R67:R68"/>
    <mergeCell ref="T67:T68"/>
    <mergeCell ref="V67:V68"/>
    <mergeCell ref="X67:X68"/>
    <mergeCell ref="Z67:Z68"/>
    <mergeCell ref="L50:L51"/>
    <mergeCell ref="N50:N51"/>
    <mergeCell ref="P50:P51"/>
    <mergeCell ref="R50:R51"/>
    <mergeCell ref="T50:T51"/>
    <mergeCell ref="V50:V51"/>
    <mergeCell ref="X50:X51"/>
    <mergeCell ref="B50:B51"/>
    <mergeCell ref="C50:C51"/>
    <mergeCell ref="D50:D51"/>
    <mergeCell ref="E50:E51"/>
    <mergeCell ref="F50:F51"/>
    <mergeCell ref="H50:H51"/>
    <mergeCell ref="J50:J51"/>
    <mergeCell ref="L56:L57"/>
    <mergeCell ref="N56:N57"/>
    <mergeCell ref="P56:P57"/>
    <mergeCell ref="R56:R57"/>
    <mergeCell ref="T56:T57"/>
    <mergeCell ref="V56:V57"/>
    <mergeCell ref="X56:X57"/>
    <mergeCell ref="Z56:Z57"/>
    <mergeCell ref="AB56:AB57"/>
    <mergeCell ref="AC56:AC57"/>
    <mergeCell ref="AD56:AD57"/>
    <mergeCell ref="AE56:AE57"/>
    <mergeCell ref="AF56:AF57"/>
    <mergeCell ref="AG56:AG57"/>
    <mergeCell ref="BW56:BW57"/>
    <mergeCell ref="BX56:BX57"/>
    <mergeCell ref="BS58:BS59"/>
    <mergeCell ref="BW58:BW59"/>
    <mergeCell ref="BX58:BX59"/>
    <mergeCell ref="L58:L59"/>
    <mergeCell ref="N58:N59"/>
    <mergeCell ref="P58:P59"/>
    <mergeCell ref="R58:R59"/>
    <mergeCell ref="T58:T59"/>
    <mergeCell ref="V58:V59"/>
    <mergeCell ref="X58:X59"/>
    <mergeCell ref="AH56:AH57"/>
    <mergeCell ref="AI56:AI57"/>
    <mergeCell ref="AJ56:AJ57"/>
    <mergeCell ref="AK56:AK57"/>
    <mergeCell ref="AL56:AL57"/>
    <mergeCell ref="AM56:AM57"/>
    <mergeCell ref="AN56:AN57"/>
    <mergeCell ref="AQ62:AQ63"/>
    <mergeCell ref="AR62:AR63"/>
    <mergeCell ref="AJ62:AJ63"/>
    <mergeCell ref="AK62:AK63"/>
    <mergeCell ref="AL62:AL63"/>
    <mergeCell ref="AM62:AM63"/>
    <mergeCell ref="AN62:AN63"/>
    <mergeCell ref="AO62:AO63"/>
    <mergeCell ref="AP62:AP63"/>
    <mergeCell ref="BN62:BN63"/>
    <mergeCell ref="BR62:BR63"/>
    <mergeCell ref="AS62:AS63"/>
    <mergeCell ref="AT62:AT63"/>
    <mergeCell ref="AU62:AU63"/>
    <mergeCell ref="AV62:AV63"/>
    <mergeCell ref="AW62:AW63"/>
    <mergeCell ref="AX62:AX63"/>
    <mergeCell ref="BM62:BM63"/>
    <mergeCell ref="B56:B57"/>
    <mergeCell ref="C56:C57"/>
    <mergeCell ref="D56:D57"/>
    <mergeCell ref="E56:E57"/>
    <mergeCell ref="F56:F57"/>
    <mergeCell ref="H56:H57"/>
    <mergeCell ref="J56:J57"/>
    <mergeCell ref="B58:B59"/>
    <mergeCell ref="C58:C59"/>
    <mergeCell ref="D58:D59"/>
    <mergeCell ref="E58:E59"/>
    <mergeCell ref="F58:F59"/>
    <mergeCell ref="H58:H59"/>
    <mergeCell ref="J58:J59"/>
    <mergeCell ref="L60:L61"/>
    <mergeCell ref="N60:N61"/>
    <mergeCell ref="P60:P61"/>
    <mergeCell ref="R60:R61"/>
    <mergeCell ref="T60:T61"/>
    <mergeCell ref="V60:V61"/>
    <mergeCell ref="X60:X61"/>
    <mergeCell ref="Z60:Z61"/>
    <mergeCell ref="AB60:AB61"/>
    <mergeCell ref="AC60:AC61"/>
    <mergeCell ref="AD60:AD61"/>
    <mergeCell ref="AE60:AE61"/>
    <mergeCell ref="AF60:AF61"/>
    <mergeCell ref="AG60:AG61"/>
    <mergeCell ref="BW60:BW61"/>
    <mergeCell ref="BX60:BX61"/>
    <mergeCell ref="BS62:BS63"/>
    <mergeCell ref="BW62:BW63"/>
    <mergeCell ref="BX62:BX63"/>
    <mergeCell ref="AH60:AH61"/>
    <mergeCell ref="AI60:AI61"/>
    <mergeCell ref="AJ60:AJ61"/>
    <mergeCell ref="AK60:AK61"/>
    <mergeCell ref="AL60:AL61"/>
    <mergeCell ref="AM60:AM61"/>
    <mergeCell ref="AN60:AN61"/>
    <mergeCell ref="N62:N63"/>
    <mergeCell ref="P62:P63"/>
    <mergeCell ref="R62:R63"/>
    <mergeCell ref="T62:T63"/>
    <mergeCell ref="V62:V63"/>
    <mergeCell ref="X62:X63"/>
    <mergeCell ref="B64:AD64"/>
    <mergeCell ref="AI67:AI68"/>
    <mergeCell ref="AJ67:AJ68"/>
    <mergeCell ref="AB67:AB68"/>
    <mergeCell ref="AC67:AC68"/>
    <mergeCell ref="AD67:AD68"/>
    <mergeCell ref="AE67:AE68"/>
    <mergeCell ref="AF67:AF68"/>
    <mergeCell ref="AG67:AG68"/>
    <mergeCell ref="AH67:AH68"/>
    <mergeCell ref="AR67:AR68"/>
    <mergeCell ref="AS67:AS68"/>
    <mergeCell ref="AK67:AK68"/>
    <mergeCell ref="AL67:AL68"/>
    <mergeCell ref="AM67:AM68"/>
    <mergeCell ref="AN67:AN68"/>
    <mergeCell ref="AO67:AO68"/>
    <mergeCell ref="AP67:AP68"/>
    <mergeCell ref="AQ67:AQ68"/>
    <mergeCell ref="AO69:AO70"/>
    <mergeCell ref="AP69:AP70"/>
    <mergeCell ref="AQ69:AQ70"/>
    <mergeCell ref="AR69:AR70"/>
    <mergeCell ref="AS69:AS70"/>
    <mergeCell ref="AT69:AT70"/>
    <mergeCell ref="AU69:AU70"/>
    <mergeCell ref="CE69:CE70"/>
    <mergeCell ref="CF69:CF70"/>
    <mergeCell ref="AV69:AV70"/>
    <mergeCell ref="AW69:AW70"/>
    <mergeCell ref="AX69:AX70"/>
    <mergeCell ref="BM69:BM70"/>
    <mergeCell ref="BN69:BN70"/>
    <mergeCell ref="BR69:BR70"/>
    <mergeCell ref="BS69:BS70"/>
    <mergeCell ref="CT79:CT80"/>
    <mergeCell ref="CU79:CU80"/>
    <mergeCell ref="BS79:BS80"/>
    <mergeCell ref="BW79:BW80"/>
    <mergeCell ref="BX79:BX80"/>
    <mergeCell ref="CE79:CE80"/>
    <mergeCell ref="CF79:CF80"/>
    <mergeCell ref="CO79:CO80"/>
    <mergeCell ref="CP79:CP80"/>
    <mergeCell ref="L77:L78"/>
    <mergeCell ref="N77:N78"/>
    <mergeCell ref="P77:P78"/>
    <mergeCell ref="R77:R78"/>
    <mergeCell ref="T77:T78"/>
    <mergeCell ref="V77:V78"/>
    <mergeCell ref="X77:X78"/>
    <mergeCell ref="Z77:Z78"/>
    <mergeCell ref="AB77:AB78"/>
    <mergeCell ref="AC77:AC78"/>
    <mergeCell ref="AD77:AD78"/>
    <mergeCell ref="AE77:AE78"/>
    <mergeCell ref="AF77:AF78"/>
    <mergeCell ref="AG77:AG78"/>
    <mergeCell ref="BW77:BW78"/>
    <mergeCell ref="BX77:BX78"/>
    <mergeCell ref="CE77:CE78"/>
    <mergeCell ref="CF77:CF78"/>
    <mergeCell ref="CO77:CO78"/>
    <mergeCell ref="CP77:CP78"/>
    <mergeCell ref="CT77:CT78"/>
    <mergeCell ref="CU77:CU78"/>
    <mergeCell ref="L79:L80"/>
    <mergeCell ref="N79:N80"/>
    <mergeCell ref="P79:P80"/>
    <mergeCell ref="R79:R80"/>
    <mergeCell ref="T79:T80"/>
    <mergeCell ref="V79:V80"/>
    <mergeCell ref="X79:X80"/>
    <mergeCell ref="AH77:AH78"/>
    <mergeCell ref="AI77:AI78"/>
    <mergeCell ref="AJ77:AJ78"/>
    <mergeCell ref="AK77:AK78"/>
    <mergeCell ref="AL77:AL78"/>
    <mergeCell ref="AM77:AM78"/>
    <mergeCell ref="AN77:AN78"/>
    <mergeCell ref="AO77:AO78"/>
    <mergeCell ref="AP77:AP78"/>
    <mergeCell ref="AQ77:AQ78"/>
    <mergeCell ref="AR77:AR78"/>
    <mergeCell ref="AS77:AS78"/>
    <mergeCell ref="AT77:AT78"/>
    <mergeCell ref="AU77:AU78"/>
    <mergeCell ref="AV77:AV78"/>
    <mergeCell ref="AW77:AW78"/>
    <mergeCell ref="AX77:AX78"/>
    <mergeCell ref="BM77:BM78"/>
    <mergeCell ref="BN77:BN78"/>
    <mergeCell ref="BR77:BR78"/>
    <mergeCell ref="BS77:BS78"/>
    <mergeCell ref="B85:B86"/>
    <mergeCell ref="C85:C86"/>
    <mergeCell ref="D85:D86"/>
    <mergeCell ref="E85:E86"/>
    <mergeCell ref="F85:F86"/>
    <mergeCell ref="H85:H86"/>
    <mergeCell ref="J85:J86"/>
    <mergeCell ref="B87:B88"/>
    <mergeCell ref="C87:C88"/>
    <mergeCell ref="D87:D88"/>
    <mergeCell ref="E87:E88"/>
    <mergeCell ref="F87:F88"/>
    <mergeCell ref="H87:H88"/>
    <mergeCell ref="J87:J88"/>
    <mergeCell ref="L89:L90"/>
    <mergeCell ref="N89:N90"/>
    <mergeCell ref="P89:P90"/>
    <mergeCell ref="R89:R90"/>
    <mergeCell ref="T89:T90"/>
    <mergeCell ref="V89:V90"/>
    <mergeCell ref="X89:X90"/>
    <mergeCell ref="Z89:Z90"/>
    <mergeCell ref="AB89:AB90"/>
    <mergeCell ref="AC89:AC90"/>
    <mergeCell ref="AD89:AD90"/>
    <mergeCell ref="AE89:AE90"/>
    <mergeCell ref="AF89:AF90"/>
    <mergeCell ref="AG89:AG90"/>
    <mergeCell ref="BW89:BW90"/>
    <mergeCell ref="BX89:BX90"/>
    <mergeCell ref="BS91:BS92"/>
    <mergeCell ref="BW91:BW92"/>
    <mergeCell ref="BX91:BX92"/>
    <mergeCell ref="L91:L92"/>
    <mergeCell ref="N91:N92"/>
    <mergeCell ref="P91:P92"/>
    <mergeCell ref="R91:R92"/>
    <mergeCell ref="T91:T92"/>
    <mergeCell ref="V91:V92"/>
    <mergeCell ref="X91:X92"/>
    <mergeCell ref="AH89:AH90"/>
    <mergeCell ref="AI89:AI90"/>
    <mergeCell ref="AJ89:AJ90"/>
    <mergeCell ref="AK89:AK90"/>
    <mergeCell ref="AL89:AL90"/>
    <mergeCell ref="AM89:AM90"/>
    <mergeCell ref="AN89:AN90"/>
    <mergeCell ref="B89:B90"/>
    <mergeCell ref="C89:C90"/>
    <mergeCell ref="D89:D90"/>
    <mergeCell ref="E89:E90"/>
    <mergeCell ref="F89:F90"/>
    <mergeCell ref="H89:H90"/>
    <mergeCell ref="J89:J90"/>
    <mergeCell ref="B91:B92"/>
    <mergeCell ref="C91:C92"/>
    <mergeCell ref="D91:D92"/>
    <mergeCell ref="E91:E92"/>
    <mergeCell ref="F91:F92"/>
    <mergeCell ref="H91:H92"/>
    <mergeCell ref="J91:J92"/>
    <mergeCell ref="L93:L94"/>
    <mergeCell ref="N93:N94"/>
    <mergeCell ref="P93:P94"/>
    <mergeCell ref="R93:R94"/>
    <mergeCell ref="T93:T94"/>
    <mergeCell ref="V93:V94"/>
    <mergeCell ref="X93:X94"/>
    <mergeCell ref="Z93:Z94"/>
    <mergeCell ref="AB93:AB94"/>
    <mergeCell ref="AC93:AC94"/>
    <mergeCell ref="AD93:AD94"/>
    <mergeCell ref="AE93:AE94"/>
    <mergeCell ref="AF93:AF94"/>
    <mergeCell ref="AG93:AG94"/>
    <mergeCell ref="AH93:AH94"/>
    <mergeCell ref="AI93:AI94"/>
    <mergeCell ref="AJ93:AJ94"/>
    <mergeCell ref="AK93:AK94"/>
    <mergeCell ref="AL93:AL94"/>
    <mergeCell ref="AM93:AM94"/>
    <mergeCell ref="AN93:AN94"/>
    <mergeCell ref="BW93:BW94"/>
    <mergeCell ref="BX93:BX94"/>
    <mergeCell ref="L95:L96"/>
    <mergeCell ref="N95:N96"/>
    <mergeCell ref="P95:P96"/>
    <mergeCell ref="R95:R96"/>
    <mergeCell ref="T95:T96"/>
    <mergeCell ref="V95:V96"/>
    <mergeCell ref="X95:X96"/>
    <mergeCell ref="L109:L110"/>
    <mergeCell ref="N109:N110"/>
    <mergeCell ref="P109:P110"/>
    <mergeCell ref="R109:R110"/>
    <mergeCell ref="T109:T110"/>
    <mergeCell ref="V109:V110"/>
    <mergeCell ref="X109:X110"/>
    <mergeCell ref="L111:L112"/>
    <mergeCell ref="N111:N112"/>
    <mergeCell ref="P111:P112"/>
    <mergeCell ref="R111:R112"/>
    <mergeCell ref="T111:T112"/>
    <mergeCell ref="V111:V112"/>
    <mergeCell ref="X111:X112"/>
    <mergeCell ref="L113:L114"/>
    <mergeCell ref="N113:N114"/>
    <mergeCell ref="P113:P114"/>
    <mergeCell ref="R113:R114"/>
    <mergeCell ref="T113:T114"/>
    <mergeCell ref="V113:V114"/>
    <mergeCell ref="X113:X114"/>
    <mergeCell ref="Z113:Z114"/>
    <mergeCell ref="AB113:AB114"/>
    <mergeCell ref="AC113:AC114"/>
    <mergeCell ref="AD113:AD114"/>
    <mergeCell ref="AE113:AE114"/>
    <mergeCell ref="AF113:AF114"/>
    <mergeCell ref="AG113:AG114"/>
    <mergeCell ref="BW113:BW114"/>
    <mergeCell ref="BX113:BX114"/>
    <mergeCell ref="BS115:BS116"/>
    <mergeCell ref="BW115:BW116"/>
    <mergeCell ref="BX115:BX116"/>
    <mergeCell ref="L115:L116"/>
    <mergeCell ref="N115:N116"/>
    <mergeCell ref="P115:P116"/>
    <mergeCell ref="R115:R116"/>
    <mergeCell ref="T115:T116"/>
    <mergeCell ref="V115:V116"/>
    <mergeCell ref="X115:X116"/>
    <mergeCell ref="AH113:AH114"/>
    <mergeCell ref="AI113:AI114"/>
    <mergeCell ref="AJ113:AJ114"/>
    <mergeCell ref="AK113:AK114"/>
    <mergeCell ref="AL113:AL114"/>
    <mergeCell ref="AM113:AM114"/>
    <mergeCell ref="AN113:AN114"/>
    <mergeCell ref="AH119:AH120"/>
    <mergeCell ref="AI119:AI120"/>
    <mergeCell ref="Z119:Z120"/>
    <mergeCell ref="AB119:AB120"/>
    <mergeCell ref="AC119:AC120"/>
    <mergeCell ref="AD119:AD120"/>
    <mergeCell ref="AE119:AE120"/>
    <mergeCell ref="AF119:AF120"/>
    <mergeCell ref="AG119:AG120"/>
    <mergeCell ref="AQ119:AQ120"/>
    <mergeCell ref="AR119:AR120"/>
    <mergeCell ref="AJ119:AJ120"/>
    <mergeCell ref="AK119:AK120"/>
    <mergeCell ref="AL119:AL120"/>
    <mergeCell ref="AM119:AM120"/>
    <mergeCell ref="AN119:AN120"/>
    <mergeCell ref="AO119:AO120"/>
    <mergeCell ref="AP119:AP120"/>
    <mergeCell ref="BN119:BN120"/>
    <mergeCell ref="BR119:BR120"/>
    <mergeCell ref="CE119:CE120"/>
    <mergeCell ref="CF119:CF120"/>
    <mergeCell ref="CO119:CO120"/>
    <mergeCell ref="CP119:CP120"/>
    <mergeCell ref="CT119:CT120"/>
    <mergeCell ref="CU119:CU120"/>
    <mergeCell ref="AS119:AS120"/>
    <mergeCell ref="AT119:AT120"/>
    <mergeCell ref="AU119:AU120"/>
    <mergeCell ref="AV119:AV120"/>
    <mergeCell ref="AW119:AW120"/>
    <mergeCell ref="AX119:AX120"/>
    <mergeCell ref="BM119:BM120"/>
    <mergeCell ref="AO121:AO122"/>
    <mergeCell ref="AP121:AP122"/>
    <mergeCell ref="AQ121:AQ122"/>
    <mergeCell ref="AR121:AR122"/>
    <mergeCell ref="AS121:AS122"/>
    <mergeCell ref="AT121:AT122"/>
    <mergeCell ref="AU121:AU122"/>
    <mergeCell ref="CE121:CE122"/>
    <mergeCell ref="CF121:CF122"/>
    <mergeCell ref="CO121:CO122"/>
    <mergeCell ref="CP121:CP122"/>
    <mergeCell ref="CT121:CT122"/>
    <mergeCell ref="CU121:CU122"/>
    <mergeCell ref="AV121:AV122"/>
    <mergeCell ref="AW121:AW122"/>
    <mergeCell ref="AX121:AX122"/>
    <mergeCell ref="BM121:BM122"/>
    <mergeCell ref="BN121:BN122"/>
    <mergeCell ref="BR121:BR122"/>
    <mergeCell ref="BS121:BS122"/>
    <mergeCell ref="B121:B122"/>
    <mergeCell ref="C121:C122"/>
    <mergeCell ref="D121:D122"/>
    <mergeCell ref="E121:E122"/>
    <mergeCell ref="F121:F122"/>
    <mergeCell ref="H121:H122"/>
    <mergeCell ref="J121:J122"/>
    <mergeCell ref="B123:B124"/>
    <mergeCell ref="C123:C124"/>
    <mergeCell ref="D123:D124"/>
    <mergeCell ref="E123:E124"/>
    <mergeCell ref="F123:F124"/>
    <mergeCell ref="H123:H124"/>
    <mergeCell ref="J123:J124"/>
    <mergeCell ref="AH123:AH124"/>
    <mergeCell ref="AI123:AI124"/>
    <mergeCell ref="CE123:CE124"/>
    <mergeCell ref="CF123:CF124"/>
    <mergeCell ref="CO123:CO124"/>
    <mergeCell ref="CP123:CP124"/>
    <mergeCell ref="CT123:CT124"/>
    <mergeCell ref="CU123:CU124"/>
    <mergeCell ref="Z123:Z124"/>
    <mergeCell ref="AB123:AB124"/>
    <mergeCell ref="AC123:AC124"/>
    <mergeCell ref="AD123:AD124"/>
    <mergeCell ref="AE123:AE124"/>
    <mergeCell ref="AF123:AF124"/>
    <mergeCell ref="AG123:AG124"/>
    <mergeCell ref="B113:B114"/>
    <mergeCell ref="C113:C114"/>
    <mergeCell ref="D113:D114"/>
    <mergeCell ref="E113:E114"/>
    <mergeCell ref="F113:F114"/>
    <mergeCell ref="H113:H114"/>
    <mergeCell ref="J113:J114"/>
    <mergeCell ref="B115:B116"/>
    <mergeCell ref="C115:C116"/>
    <mergeCell ref="D115:D116"/>
    <mergeCell ref="E115:E116"/>
    <mergeCell ref="F115:F116"/>
    <mergeCell ref="H115:H116"/>
    <mergeCell ref="J115:J116"/>
    <mergeCell ref="L117:L118"/>
    <mergeCell ref="N117:N118"/>
    <mergeCell ref="P117:P118"/>
    <mergeCell ref="R117:R118"/>
    <mergeCell ref="T117:T118"/>
    <mergeCell ref="V117:V118"/>
    <mergeCell ref="X117:X118"/>
    <mergeCell ref="Z117:Z118"/>
    <mergeCell ref="AB117:AB118"/>
    <mergeCell ref="AC117:AC118"/>
    <mergeCell ref="AD117:AD118"/>
    <mergeCell ref="AE117:AE118"/>
    <mergeCell ref="AF117:AF118"/>
    <mergeCell ref="AG117:AG118"/>
    <mergeCell ref="BW117:BW118"/>
    <mergeCell ref="BX117:BX118"/>
    <mergeCell ref="BS119:BS120"/>
    <mergeCell ref="BW119:BW120"/>
    <mergeCell ref="BX119:BX120"/>
    <mergeCell ref="L119:L120"/>
    <mergeCell ref="N119:N120"/>
    <mergeCell ref="P119:P120"/>
    <mergeCell ref="R119:R120"/>
    <mergeCell ref="T119:T120"/>
    <mergeCell ref="V119:V120"/>
    <mergeCell ref="X119:X120"/>
    <mergeCell ref="AH117:AH118"/>
    <mergeCell ref="AI117:AI118"/>
    <mergeCell ref="AJ117:AJ118"/>
    <mergeCell ref="AK117:AK118"/>
    <mergeCell ref="AL117:AL118"/>
    <mergeCell ref="AM117:AM118"/>
    <mergeCell ref="AN117:AN118"/>
    <mergeCell ref="AQ123:AQ124"/>
    <mergeCell ref="AR123:AR124"/>
    <mergeCell ref="AJ123:AJ124"/>
    <mergeCell ref="AK123:AK124"/>
    <mergeCell ref="AL123:AL124"/>
    <mergeCell ref="AM123:AM124"/>
    <mergeCell ref="AN123:AN124"/>
    <mergeCell ref="AO123:AO124"/>
    <mergeCell ref="AP123:AP124"/>
    <mergeCell ref="BN123:BN124"/>
    <mergeCell ref="BR123:BR124"/>
    <mergeCell ref="AS123:AS124"/>
    <mergeCell ref="AT123:AT124"/>
    <mergeCell ref="AU123:AU124"/>
    <mergeCell ref="AV123:AV124"/>
    <mergeCell ref="AW123:AW124"/>
    <mergeCell ref="AX123:AX124"/>
    <mergeCell ref="BM123:BM124"/>
    <mergeCell ref="B117:B118"/>
    <mergeCell ref="C117:C118"/>
    <mergeCell ref="D117:D118"/>
    <mergeCell ref="E117:E118"/>
    <mergeCell ref="F117:F118"/>
    <mergeCell ref="H117:H118"/>
    <mergeCell ref="J117:J118"/>
    <mergeCell ref="L121:L122"/>
    <mergeCell ref="N121:N122"/>
    <mergeCell ref="P121:P122"/>
    <mergeCell ref="R121:R122"/>
    <mergeCell ref="T121:T122"/>
    <mergeCell ref="V121:V122"/>
    <mergeCell ref="X121:X122"/>
    <mergeCell ref="Z121:Z122"/>
    <mergeCell ref="AB121:AB122"/>
    <mergeCell ref="AC121:AC122"/>
    <mergeCell ref="AD121:AD122"/>
    <mergeCell ref="AE121:AE122"/>
    <mergeCell ref="AF121:AF122"/>
    <mergeCell ref="AG121:AG122"/>
    <mergeCell ref="BW121:BW122"/>
    <mergeCell ref="BX121:BX122"/>
    <mergeCell ref="BS123:BS124"/>
    <mergeCell ref="BW123:BW124"/>
    <mergeCell ref="BX123:BX124"/>
    <mergeCell ref="L123:L124"/>
    <mergeCell ref="N123:N124"/>
    <mergeCell ref="P123:P124"/>
    <mergeCell ref="R123:R124"/>
    <mergeCell ref="T123:T124"/>
    <mergeCell ref="V123:V124"/>
    <mergeCell ref="X123:X124"/>
    <mergeCell ref="AH121:AH122"/>
    <mergeCell ref="AI121:AI122"/>
    <mergeCell ref="AJ121:AJ122"/>
    <mergeCell ref="AK121:AK122"/>
    <mergeCell ref="AL121:AL122"/>
    <mergeCell ref="AM121:AM122"/>
    <mergeCell ref="AN121:AN122"/>
    <mergeCell ref="B119:B120"/>
    <mergeCell ref="C119:C120"/>
    <mergeCell ref="D119:D120"/>
    <mergeCell ref="E119:E120"/>
    <mergeCell ref="F119:F120"/>
    <mergeCell ref="H119:H120"/>
    <mergeCell ref="J119:J120"/>
    <mergeCell ref="B125:B126"/>
    <mergeCell ref="C125:C126"/>
    <mergeCell ref="D125:D126"/>
    <mergeCell ref="E125:E126"/>
    <mergeCell ref="F125:F126"/>
    <mergeCell ref="H125:H126"/>
    <mergeCell ref="J125:J126"/>
    <mergeCell ref="B127:B128"/>
    <mergeCell ref="C127:C128"/>
    <mergeCell ref="D127:D128"/>
    <mergeCell ref="E127:E128"/>
    <mergeCell ref="F127:F128"/>
    <mergeCell ref="H127:H128"/>
    <mergeCell ref="J127:J128"/>
    <mergeCell ref="AH127:AH128"/>
    <mergeCell ref="AI127:AI128"/>
    <mergeCell ref="Z127:Z128"/>
    <mergeCell ref="AB127:AB128"/>
    <mergeCell ref="AC127:AC128"/>
    <mergeCell ref="AD127:AD128"/>
    <mergeCell ref="AE127:AE128"/>
    <mergeCell ref="AF127:AF128"/>
    <mergeCell ref="AG127:AG128"/>
    <mergeCell ref="AJ127:AJ128"/>
    <mergeCell ref="AK127:AK128"/>
    <mergeCell ref="AL127:AL128"/>
    <mergeCell ref="AM127:AM128"/>
    <mergeCell ref="AN127:AN128"/>
    <mergeCell ref="AO127:AO128"/>
    <mergeCell ref="AP127:AP128"/>
    <mergeCell ref="CO127:CO128"/>
    <mergeCell ref="CP127:CP128"/>
    <mergeCell ref="CT127:CT128"/>
    <mergeCell ref="CU127:CU128"/>
    <mergeCell ref="AQ127:AQ128"/>
    <mergeCell ref="AR127:AR128"/>
    <mergeCell ref="BS127:BS128"/>
    <mergeCell ref="BW127:BW128"/>
    <mergeCell ref="BX127:BX128"/>
    <mergeCell ref="CE127:CE128"/>
    <mergeCell ref="CF127:CF128"/>
    <mergeCell ref="L125:L126"/>
    <mergeCell ref="N125:N126"/>
    <mergeCell ref="P125:P126"/>
    <mergeCell ref="R125:R126"/>
    <mergeCell ref="T125:T126"/>
    <mergeCell ref="V125:V126"/>
    <mergeCell ref="X125:X126"/>
    <mergeCell ref="Z125:Z126"/>
    <mergeCell ref="AB125:AB126"/>
    <mergeCell ref="AC125:AC126"/>
    <mergeCell ref="AD125:AD126"/>
    <mergeCell ref="AE125:AE126"/>
    <mergeCell ref="AF125:AF126"/>
    <mergeCell ref="AG125:AG126"/>
    <mergeCell ref="BW125:BW126"/>
    <mergeCell ref="BX125:BX126"/>
    <mergeCell ref="CE125:CE126"/>
    <mergeCell ref="CF125:CF126"/>
    <mergeCell ref="CO125:CO126"/>
    <mergeCell ref="CP125:CP126"/>
    <mergeCell ref="CT125:CT126"/>
    <mergeCell ref="CU125:CU126"/>
    <mergeCell ref="AV125:AV126"/>
    <mergeCell ref="AW125:AW126"/>
    <mergeCell ref="AX125:AX126"/>
    <mergeCell ref="BM125:BM126"/>
    <mergeCell ref="BN125:BN126"/>
    <mergeCell ref="BR125:BR126"/>
    <mergeCell ref="BS125:BS126"/>
    <mergeCell ref="L127:L128"/>
    <mergeCell ref="N127:N128"/>
    <mergeCell ref="P127:P128"/>
    <mergeCell ref="R127:R128"/>
    <mergeCell ref="T127:T128"/>
    <mergeCell ref="V127:V128"/>
    <mergeCell ref="X127:X128"/>
    <mergeCell ref="AH125:AH126"/>
    <mergeCell ref="AI125:AI126"/>
    <mergeCell ref="AJ125:AJ126"/>
    <mergeCell ref="AK125:AK126"/>
    <mergeCell ref="AL125:AL126"/>
    <mergeCell ref="AM125:AM126"/>
    <mergeCell ref="AN125:AN126"/>
    <mergeCell ref="AO125:AO126"/>
    <mergeCell ref="AP125:AP126"/>
    <mergeCell ref="AQ125:AQ126"/>
    <mergeCell ref="AR125:AR126"/>
    <mergeCell ref="AS125:AS126"/>
    <mergeCell ref="AT125:AT126"/>
    <mergeCell ref="AU125:AU126"/>
    <mergeCell ref="BX129:BX130"/>
    <mergeCell ref="CE129:CE130"/>
    <mergeCell ref="CF129:CF130"/>
    <mergeCell ref="CO129:CO130"/>
    <mergeCell ref="CP129:CP130"/>
    <mergeCell ref="CT129:CT130"/>
    <mergeCell ref="CU129:CU130"/>
    <mergeCell ref="BN127:BN128"/>
    <mergeCell ref="BR127:BR128"/>
    <mergeCell ref="BM129:BM130"/>
    <mergeCell ref="BN129:BN130"/>
    <mergeCell ref="BR129:BR130"/>
    <mergeCell ref="BS129:BS130"/>
    <mergeCell ref="BW129:BW130"/>
    <mergeCell ref="AH131:AH132"/>
    <mergeCell ref="AI131:AI132"/>
    <mergeCell ref="Z131:Z132"/>
    <mergeCell ref="AB131:AB132"/>
    <mergeCell ref="AC131:AC132"/>
    <mergeCell ref="AD131:AD132"/>
    <mergeCell ref="AE131:AE132"/>
    <mergeCell ref="AF131:AF132"/>
    <mergeCell ref="AG131:AG132"/>
    <mergeCell ref="AQ131:AQ132"/>
    <mergeCell ref="AR131:AR132"/>
    <mergeCell ref="AJ131:AJ132"/>
    <mergeCell ref="AK131:AK132"/>
    <mergeCell ref="AL131:AL132"/>
    <mergeCell ref="AM131:AM132"/>
    <mergeCell ref="AN131:AN132"/>
    <mergeCell ref="AO131:AO132"/>
    <mergeCell ref="AP131:AP132"/>
    <mergeCell ref="AS131:AS132"/>
    <mergeCell ref="AT131:AT132"/>
    <mergeCell ref="AU131:AU132"/>
    <mergeCell ref="AV131:AV132"/>
    <mergeCell ref="AW131:AW132"/>
    <mergeCell ref="AX131:AX132"/>
    <mergeCell ref="BM131:BM132"/>
    <mergeCell ref="CO131:CO132"/>
    <mergeCell ref="CP131:CP132"/>
    <mergeCell ref="CT131:CT132"/>
    <mergeCell ref="CU131:CU132"/>
    <mergeCell ref="BN131:BN132"/>
    <mergeCell ref="BR131:BR132"/>
    <mergeCell ref="BS131:BS132"/>
    <mergeCell ref="BW131:BW132"/>
    <mergeCell ref="BX131:BX132"/>
    <mergeCell ref="CE131:CE132"/>
    <mergeCell ref="CF131:CF132"/>
    <mergeCell ref="AO133:AO134"/>
    <mergeCell ref="AP133:AP134"/>
    <mergeCell ref="AQ133:AQ134"/>
    <mergeCell ref="AR133:AR134"/>
    <mergeCell ref="AS133:AS134"/>
    <mergeCell ref="AT133:AT134"/>
    <mergeCell ref="AU133:AU134"/>
    <mergeCell ref="CE133:CE134"/>
    <mergeCell ref="CF133:CF134"/>
    <mergeCell ref="CO133:CO134"/>
    <mergeCell ref="CP133:CP134"/>
    <mergeCell ref="CT133:CT134"/>
    <mergeCell ref="CU133:CU134"/>
    <mergeCell ref="AV133:AV134"/>
    <mergeCell ref="AW133:AW134"/>
    <mergeCell ref="AX133:AX134"/>
    <mergeCell ref="BM133:BM134"/>
    <mergeCell ref="BN133:BN134"/>
    <mergeCell ref="BR133:BR134"/>
    <mergeCell ref="BS133:BS134"/>
    <mergeCell ref="B133:B134"/>
    <mergeCell ref="C133:C134"/>
    <mergeCell ref="D133:D134"/>
    <mergeCell ref="E133:E134"/>
    <mergeCell ref="F133:F134"/>
    <mergeCell ref="H133:H134"/>
    <mergeCell ref="J133:J134"/>
    <mergeCell ref="B135:B136"/>
    <mergeCell ref="C135:C136"/>
    <mergeCell ref="D135:D136"/>
    <mergeCell ref="E135:E136"/>
    <mergeCell ref="F135:F136"/>
    <mergeCell ref="H135:H136"/>
    <mergeCell ref="J135:J136"/>
    <mergeCell ref="AS127:AS128"/>
    <mergeCell ref="AT127:AT128"/>
    <mergeCell ref="AU127:AU128"/>
    <mergeCell ref="AV127:AV128"/>
    <mergeCell ref="AW127:AW128"/>
    <mergeCell ref="AX127:AX128"/>
    <mergeCell ref="BM127:BM128"/>
    <mergeCell ref="L129:L130"/>
    <mergeCell ref="N129:N130"/>
    <mergeCell ref="P129:P130"/>
    <mergeCell ref="R129:R130"/>
    <mergeCell ref="T129:T130"/>
    <mergeCell ref="V129:V130"/>
    <mergeCell ref="X129:X130"/>
    <mergeCell ref="Z129:Z130"/>
    <mergeCell ref="AB129:AB130"/>
    <mergeCell ref="AC129:AC130"/>
    <mergeCell ref="AD129:AD130"/>
    <mergeCell ref="AE129:AE130"/>
    <mergeCell ref="AF129:AF130"/>
    <mergeCell ref="AG129:AG130"/>
    <mergeCell ref="AV129:AV130"/>
    <mergeCell ref="AW129:AW130"/>
    <mergeCell ref="AX129:AX130"/>
    <mergeCell ref="L131:L132"/>
    <mergeCell ref="N131:N132"/>
    <mergeCell ref="P131:P132"/>
    <mergeCell ref="R131:R132"/>
    <mergeCell ref="T131:T132"/>
    <mergeCell ref="V131:V132"/>
    <mergeCell ref="X131:X132"/>
    <mergeCell ref="AH129:AH130"/>
    <mergeCell ref="AI129:AI130"/>
    <mergeCell ref="AJ129:AJ130"/>
    <mergeCell ref="AK129:AK130"/>
    <mergeCell ref="AL129:AL130"/>
    <mergeCell ref="AM129:AM130"/>
    <mergeCell ref="AN129:AN130"/>
    <mergeCell ref="AO129:AO130"/>
    <mergeCell ref="AP129:AP130"/>
    <mergeCell ref="AQ129:AQ130"/>
    <mergeCell ref="AR129:AR130"/>
    <mergeCell ref="AS129:AS130"/>
    <mergeCell ref="AT129:AT130"/>
    <mergeCell ref="AU129:AU130"/>
    <mergeCell ref="AQ135:AQ136"/>
    <mergeCell ref="AR135:AR136"/>
    <mergeCell ref="AJ135:AJ136"/>
    <mergeCell ref="AK135:AK136"/>
    <mergeCell ref="AL135:AL136"/>
    <mergeCell ref="AM135:AM136"/>
    <mergeCell ref="AN135:AN136"/>
    <mergeCell ref="AO135:AO136"/>
    <mergeCell ref="AP135:AP136"/>
    <mergeCell ref="B129:B130"/>
    <mergeCell ref="C129:C130"/>
    <mergeCell ref="D129:D130"/>
    <mergeCell ref="E129:E130"/>
    <mergeCell ref="F129:F130"/>
    <mergeCell ref="H129:H130"/>
    <mergeCell ref="J129:J130"/>
    <mergeCell ref="B131:B132"/>
    <mergeCell ref="C131:C132"/>
    <mergeCell ref="D131:D132"/>
    <mergeCell ref="E131:E132"/>
    <mergeCell ref="F131:F132"/>
    <mergeCell ref="H131:H132"/>
    <mergeCell ref="J131:J132"/>
    <mergeCell ref="L133:L134"/>
    <mergeCell ref="N133:N134"/>
    <mergeCell ref="P133:P134"/>
    <mergeCell ref="R133:R134"/>
    <mergeCell ref="T133:T134"/>
    <mergeCell ref="V133:V134"/>
    <mergeCell ref="X133:X134"/>
    <mergeCell ref="Z133:Z134"/>
    <mergeCell ref="AB133:AB134"/>
    <mergeCell ref="AC133:AC134"/>
    <mergeCell ref="AD133:AD134"/>
    <mergeCell ref="AE133:AE134"/>
    <mergeCell ref="AF133:AF134"/>
    <mergeCell ref="AG133:AG134"/>
    <mergeCell ref="BW133:BW134"/>
    <mergeCell ref="BX133:BX134"/>
    <mergeCell ref="L135:L136"/>
    <mergeCell ref="N135:N136"/>
    <mergeCell ref="P135:P136"/>
    <mergeCell ref="R135:R136"/>
    <mergeCell ref="T135:T136"/>
    <mergeCell ref="V135:V136"/>
    <mergeCell ref="X135:X136"/>
    <mergeCell ref="AS135:AS136"/>
    <mergeCell ref="AT135:AT136"/>
    <mergeCell ref="AU135:AU136"/>
    <mergeCell ref="AV135:AV136"/>
    <mergeCell ref="AW135:AW136"/>
    <mergeCell ref="AX135:AX136"/>
    <mergeCell ref="AH133:AH134"/>
    <mergeCell ref="AI133:AI134"/>
    <mergeCell ref="AJ133:AJ134"/>
    <mergeCell ref="AK133:AK134"/>
    <mergeCell ref="AL133:AL134"/>
    <mergeCell ref="AM133:AM134"/>
    <mergeCell ref="AN133:AN134"/>
    <mergeCell ref="L137:L138"/>
    <mergeCell ref="N137:N138"/>
    <mergeCell ref="P137:P138"/>
    <mergeCell ref="R137:R138"/>
    <mergeCell ref="T137:T138"/>
    <mergeCell ref="V137:V138"/>
    <mergeCell ref="X137:X138"/>
    <mergeCell ref="B137:B138"/>
    <mergeCell ref="C137:C138"/>
    <mergeCell ref="D137:D138"/>
    <mergeCell ref="E137:E138"/>
    <mergeCell ref="F137:F138"/>
    <mergeCell ref="H137:H138"/>
    <mergeCell ref="J137:J138"/>
    <mergeCell ref="AJ139:AJ140"/>
    <mergeCell ref="AK139:AK140"/>
    <mergeCell ref="AC139:AC140"/>
    <mergeCell ref="AD139:AD140"/>
    <mergeCell ref="AE139:AE140"/>
    <mergeCell ref="AF139:AF140"/>
    <mergeCell ref="AG139:AG140"/>
    <mergeCell ref="AH139:AH140"/>
    <mergeCell ref="AI139:AI140"/>
    <mergeCell ref="AS139:AS140"/>
    <mergeCell ref="AT139:AT140"/>
    <mergeCell ref="AL139:AL140"/>
    <mergeCell ref="AM139:AM140"/>
    <mergeCell ref="AN139:AN140"/>
    <mergeCell ref="AO139:AO140"/>
    <mergeCell ref="AP139:AP140"/>
    <mergeCell ref="AQ139:AQ140"/>
    <mergeCell ref="AR139:AR140"/>
    <mergeCell ref="L141:L142"/>
    <mergeCell ref="N141:N142"/>
    <mergeCell ref="P141:P142"/>
    <mergeCell ref="R141:R142"/>
    <mergeCell ref="T141:T142"/>
    <mergeCell ref="V141:V142"/>
    <mergeCell ref="X141:X142"/>
    <mergeCell ref="B141:B142"/>
    <mergeCell ref="C141:C142"/>
    <mergeCell ref="D141:D142"/>
    <mergeCell ref="E141:E142"/>
    <mergeCell ref="F141:F142"/>
    <mergeCell ref="H141:H142"/>
    <mergeCell ref="J141:J142"/>
    <mergeCell ref="AH83:AH84"/>
    <mergeCell ref="AI83:AI84"/>
    <mergeCell ref="AJ83:AJ84"/>
    <mergeCell ref="AK83:AK84"/>
    <mergeCell ref="AL83:AL84"/>
    <mergeCell ref="AM83:AM84"/>
    <mergeCell ref="AN83:AN84"/>
    <mergeCell ref="BX83:BX84"/>
    <mergeCell ref="CE83:CE84"/>
    <mergeCell ref="CF83:CF84"/>
    <mergeCell ref="CO83:CO84"/>
    <mergeCell ref="CP83:CP84"/>
    <mergeCell ref="CT83:CT84"/>
    <mergeCell ref="CU83:CU84"/>
    <mergeCell ref="AO83:AO84"/>
    <mergeCell ref="AP83:AP84"/>
    <mergeCell ref="BM83:BM84"/>
    <mergeCell ref="BN83:BN84"/>
    <mergeCell ref="BR83:BR84"/>
    <mergeCell ref="BS83:BS84"/>
    <mergeCell ref="BW83:BW84"/>
    <mergeCell ref="B77:B78"/>
    <mergeCell ref="C77:C78"/>
    <mergeCell ref="D77:D78"/>
    <mergeCell ref="E77:E78"/>
    <mergeCell ref="F77:F78"/>
    <mergeCell ref="H77:H78"/>
    <mergeCell ref="J77:J78"/>
    <mergeCell ref="Z81:Z82"/>
    <mergeCell ref="AB81:AB82"/>
    <mergeCell ref="AC81:AC82"/>
    <mergeCell ref="AD81:AD82"/>
    <mergeCell ref="AE81:AE82"/>
    <mergeCell ref="AF81:AF82"/>
    <mergeCell ref="AG81:AG82"/>
    <mergeCell ref="AH81:AH82"/>
    <mergeCell ref="AI81:AI82"/>
    <mergeCell ref="AJ81:AJ82"/>
    <mergeCell ref="AK81:AK82"/>
    <mergeCell ref="AL81:AL82"/>
    <mergeCell ref="AM81:AM82"/>
    <mergeCell ref="AN81:AN82"/>
    <mergeCell ref="AV81:AV82"/>
    <mergeCell ref="AW81:AW82"/>
    <mergeCell ref="AX81:AX82"/>
    <mergeCell ref="B83:B84"/>
    <mergeCell ref="C83:C84"/>
    <mergeCell ref="D83:D84"/>
    <mergeCell ref="E83:E84"/>
    <mergeCell ref="F83:F84"/>
    <mergeCell ref="H83:H84"/>
    <mergeCell ref="J83:J84"/>
    <mergeCell ref="Z83:Z84"/>
    <mergeCell ref="AB83:AB84"/>
    <mergeCell ref="AC83:AC84"/>
    <mergeCell ref="AD83:AD84"/>
    <mergeCell ref="AE83:AE84"/>
    <mergeCell ref="AF83:AF84"/>
    <mergeCell ref="AG83:AG84"/>
    <mergeCell ref="AQ83:AQ84"/>
    <mergeCell ref="AR83:AR84"/>
    <mergeCell ref="AS83:AS84"/>
    <mergeCell ref="AT83:AT84"/>
    <mergeCell ref="AU83:AU84"/>
    <mergeCell ref="AV83:AV84"/>
    <mergeCell ref="AW83:AW84"/>
    <mergeCell ref="AX83:AX84"/>
    <mergeCell ref="AO81:AO82"/>
    <mergeCell ref="AP81:AP82"/>
    <mergeCell ref="AQ81:AQ82"/>
    <mergeCell ref="AR81:AR82"/>
    <mergeCell ref="AS81:AS82"/>
    <mergeCell ref="AT81:AT82"/>
    <mergeCell ref="AU81:AU82"/>
    <mergeCell ref="AO85:AO86"/>
    <mergeCell ref="AP85:AP86"/>
    <mergeCell ref="AQ85:AQ86"/>
    <mergeCell ref="AR85:AR86"/>
    <mergeCell ref="AS85:AS86"/>
    <mergeCell ref="AT85:AT86"/>
    <mergeCell ref="AU85:AU86"/>
    <mergeCell ref="CE85:CE86"/>
    <mergeCell ref="CF85:CF86"/>
    <mergeCell ref="CO85:CO86"/>
    <mergeCell ref="CP85:CP86"/>
    <mergeCell ref="CT85:CT86"/>
    <mergeCell ref="CU85:CU86"/>
    <mergeCell ref="AV85:AV86"/>
    <mergeCell ref="AW85:AW86"/>
    <mergeCell ref="AX85:AX86"/>
    <mergeCell ref="BM85:BM86"/>
    <mergeCell ref="BN85:BN86"/>
    <mergeCell ref="BR85:BR86"/>
    <mergeCell ref="BS85:BS86"/>
    <mergeCell ref="AH87:AH88"/>
    <mergeCell ref="AI87:AI88"/>
    <mergeCell ref="Z87:Z88"/>
    <mergeCell ref="AB87:AB88"/>
    <mergeCell ref="AC87:AC88"/>
    <mergeCell ref="AD87:AD88"/>
    <mergeCell ref="AE87:AE88"/>
    <mergeCell ref="AF87:AF88"/>
    <mergeCell ref="AG87:AG88"/>
    <mergeCell ref="AQ87:AQ88"/>
    <mergeCell ref="AR87:AR88"/>
    <mergeCell ref="AJ87:AJ88"/>
    <mergeCell ref="AK87:AK88"/>
    <mergeCell ref="AL87:AL88"/>
    <mergeCell ref="AM87:AM88"/>
    <mergeCell ref="AN87:AN88"/>
    <mergeCell ref="AO87:AO88"/>
    <mergeCell ref="AP87:AP88"/>
    <mergeCell ref="BN87:BN88"/>
    <mergeCell ref="BR87:BR88"/>
    <mergeCell ref="CE87:CE88"/>
    <mergeCell ref="CF87:CF88"/>
    <mergeCell ref="CO87:CO88"/>
    <mergeCell ref="CP87:CP88"/>
    <mergeCell ref="CT87:CT88"/>
    <mergeCell ref="CU87:CU88"/>
    <mergeCell ref="AS87:AS88"/>
    <mergeCell ref="AT87:AT88"/>
    <mergeCell ref="AU87:AU88"/>
    <mergeCell ref="AV87:AV88"/>
    <mergeCell ref="AW87:AW88"/>
    <mergeCell ref="AX87:AX88"/>
    <mergeCell ref="BM87:BM88"/>
    <mergeCell ref="AO89:AO90"/>
    <mergeCell ref="AP89:AP90"/>
    <mergeCell ref="AQ89:AQ90"/>
    <mergeCell ref="AR89:AR90"/>
    <mergeCell ref="AS89:AS90"/>
    <mergeCell ref="AT89:AT90"/>
    <mergeCell ref="AU89:AU90"/>
    <mergeCell ref="CE89:CE90"/>
    <mergeCell ref="CF89:CF90"/>
    <mergeCell ref="CO89:CO90"/>
    <mergeCell ref="CP89:CP90"/>
    <mergeCell ref="CT89:CT90"/>
    <mergeCell ref="CU89:CU90"/>
    <mergeCell ref="AV89:AV90"/>
    <mergeCell ref="AW89:AW90"/>
    <mergeCell ref="AX89:AX90"/>
    <mergeCell ref="BM89:BM90"/>
    <mergeCell ref="BN89:BN90"/>
    <mergeCell ref="BR89:BR90"/>
    <mergeCell ref="BS89:BS90"/>
    <mergeCell ref="L81:L82"/>
    <mergeCell ref="N81:N82"/>
    <mergeCell ref="P81:P82"/>
    <mergeCell ref="R81:R82"/>
    <mergeCell ref="T81:T82"/>
    <mergeCell ref="V81:V82"/>
    <mergeCell ref="X81:X82"/>
    <mergeCell ref="L83:L84"/>
    <mergeCell ref="N83:N84"/>
    <mergeCell ref="P83:P84"/>
    <mergeCell ref="R83:R84"/>
    <mergeCell ref="T83:T84"/>
    <mergeCell ref="V83:V84"/>
    <mergeCell ref="X83:X84"/>
    <mergeCell ref="L85:L86"/>
    <mergeCell ref="N85:N86"/>
    <mergeCell ref="P85:P86"/>
    <mergeCell ref="R85:R86"/>
    <mergeCell ref="T85:T86"/>
    <mergeCell ref="V85:V86"/>
    <mergeCell ref="X85:X86"/>
    <mergeCell ref="Z85:Z86"/>
    <mergeCell ref="AB85:AB86"/>
    <mergeCell ref="AC85:AC86"/>
    <mergeCell ref="AD85:AD86"/>
    <mergeCell ref="AE85:AE86"/>
    <mergeCell ref="AF85:AF86"/>
    <mergeCell ref="AG85:AG86"/>
    <mergeCell ref="BW85:BW86"/>
    <mergeCell ref="BX85:BX86"/>
    <mergeCell ref="BS87:BS88"/>
    <mergeCell ref="BW87:BW88"/>
    <mergeCell ref="BX87:BX88"/>
    <mergeCell ref="L87:L88"/>
    <mergeCell ref="N87:N88"/>
    <mergeCell ref="P87:P88"/>
    <mergeCell ref="R87:R88"/>
    <mergeCell ref="T87:T88"/>
    <mergeCell ref="V87:V88"/>
    <mergeCell ref="X87:X88"/>
    <mergeCell ref="AH85:AH86"/>
    <mergeCell ref="AI85:AI86"/>
    <mergeCell ref="AJ85:AJ86"/>
    <mergeCell ref="AK85:AK86"/>
    <mergeCell ref="AL85:AL86"/>
    <mergeCell ref="AM85:AM86"/>
    <mergeCell ref="AN85:AN86"/>
    <mergeCell ref="AH91:AH92"/>
    <mergeCell ref="AI91:AI92"/>
    <mergeCell ref="Z91:Z92"/>
    <mergeCell ref="AB91:AB92"/>
    <mergeCell ref="AC91:AC92"/>
    <mergeCell ref="AD91:AD92"/>
    <mergeCell ref="AE91:AE92"/>
    <mergeCell ref="AF91:AF92"/>
    <mergeCell ref="AG91:AG92"/>
    <mergeCell ref="AQ91:AQ92"/>
    <mergeCell ref="AR91:AR92"/>
    <mergeCell ref="AJ91:AJ92"/>
    <mergeCell ref="AK91:AK92"/>
    <mergeCell ref="AL91:AL92"/>
    <mergeCell ref="AM91:AM92"/>
    <mergeCell ref="AN91:AN92"/>
    <mergeCell ref="AO91:AO92"/>
    <mergeCell ref="AP91:AP92"/>
    <mergeCell ref="BN91:BN92"/>
    <mergeCell ref="BR91:BR92"/>
    <mergeCell ref="CE91:CE92"/>
    <mergeCell ref="CF91:CF92"/>
    <mergeCell ref="CO91:CO92"/>
    <mergeCell ref="CP91:CP92"/>
    <mergeCell ref="CT91:CT92"/>
    <mergeCell ref="CU91:CU92"/>
    <mergeCell ref="AS91:AS92"/>
    <mergeCell ref="AT91:AT92"/>
    <mergeCell ref="AU91:AU92"/>
    <mergeCell ref="AV91:AV92"/>
    <mergeCell ref="AW91:AW92"/>
    <mergeCell ref="AX91:AX92"/>
    <mergeCell ref="BM91:BM92"/>
    <mergeCell ref="AO93:AO94"/>
    <mergeCell ref="AP93:AP94"/>
    <mergeCell ref="AQ93:AQ94"/>
    <mergeCell ref="AR93:AR94"/>
    <mergeCell ref="AS93:AS94"/>
    <mergeCell ref="AT93:AT94"/>
    <mergeCell ref="AU93:AU94"/>
    <mergeCell ref="CE93:CE94"/>
    <mergeCell ref="CF93:CF94"/>
    <mergeCell ref="CO93:CO94"/>
    <mergeCell ref="CP93:CP94"/>
    <mergeCell ref="CT93:CT94"/>
    <mergeCell ref="CU93:CU94"/>
    <mergeCell ref="AV93:AV94"/>
    <mergeCell ref="AW93:AW94"/>
    <mergeCell ref="AX93:AX94"/>
    <mergeCell ref="BM93:BM94"/>
    <mergeCell ref="BN93:BN94"/>
    <mergeCell ref="BR93:BR94"/>
    <mergeCell ref="BS93:BS94"/>
    <mergeCell ref="Z95:Z96"/>
    <mergeCell ref="AB95:AB96"/>
    <mergeCell ref="AC95:AC96"/>
    <mergeCell ref="AD95:AD96"/>
    <mergeCell ref="AE95:AE96"/>
    <mergeCell ref="AF95:AF96"/>
    <mergeCell ref="AG95:AG96"/>
    <mergeCell ref="AH95:AH96"/>
    <mergeCell ref="AI95:AI96"/>
    <mergeCell ref="AJ95:AJ96"/>
    <mergeCell ref="AK95:AK96"/>
    <mergeCell ref="AL95:AL96"/>
    <mergeCell ref="AM95:AM96"/>
    <mergeCell ref="AN95:AN96"/>
    <mergeCell ref="AO95:AO96"/>
    <mergeCell ref="AP95:AP96"/>
    <mergeCell ref="AQ95:AQ96"/>
    <mergeCell ref="AR95:AR96"/>
    <mergeCell ref="AS95:AS96"/>
    <mergeCell ref="AT95:AT96"/>
    <mergeCell ref="AU95:AU96"/>
    <mergeCell ref="BW95:BW96"/>
    <mergeCell ref="BX95:BX96"/>
    <mergeCell ref="CE95:CE96"/>
    <mergeCell ref="CF95:CF96"/>
    <mergeCell ref="CO95:CO96"/>
    <mergeCell ref="CP95:CP96"/>
    <mergeCell ref="CT95:CT96"/>
    <mergeCell ref="CU95:CU96"/>
    <mergeCell ref="AV95:AV96"/>
    <mergeCell ref="AW95:AW96"/>
    <mergeCell ref="AX95:AX96"/>
    <mergeCell ref="BM95:BM96"/>
    <mergeCell ref="BN95:BN96"/>
    <mergeCell ref="BR95:BR96"/>
    <mergeCell ref="BS95:BS96"/>
    <mergeCell ref="AO97:AO98"/>
    <mergeCell ref="AP97:AP98"/>
    <mergeCell ref="AQ97:AQ98"/>
    <mergeCell ref="AR97:AR98"/>
    <mergeCell ref="AS97:AS98"/>
    <mergeCell ref="AT97:AT98"/>
    <mergeCell ref="AU97:AU98"/>
    <mergeCell ref="CE97:CE98"/>
    <mergeCell ref="CF97:CF98"/>
    <mergeCell ref="CO97:CO98"/>
    <mergeCell ref="CP97:CP98"/>
    <mergeCell ref="CT97:CT98"/>
    <mergeCell ref="CU97:CU98"/>
    <mergeCell ref="AV97:AV98"/>
    <mergeCell ref="AW97:AW98"/>
    <mergeCell ref="AX97:AX98"/>
    <mergeCell ref="BM97:BM98"/>
    <mergeCell ref="BN97:BN98"/>
    <mergeCell ref="BR97:BR98"/>
    <mergeCell ref="BS97:BS98"/>
    <mergeCell ref="AH99:AH100"/>
    <mergeCell ref="AI99:AI100"/>
    <mergeCell ref="Z99:Z100"/>
    <mergeCell ref="AB99:AB100"/>
    <mergeCell ref="AC99:AC100"/>
    <mergeCell ref="AD99:AD100"/>
    <mergeCell ref="AE99:AE100"/>
    <mergeCell ref="AF99:AF100"/>
    <mergeCell ref="AG99:AG100"/>
    <mergeCell ref="AQ99:AQ100"/>
    <mergeCell ref="AR99:AR100"/>
    <mergeCell ref="AJ99:AJ100"/>
    <mergeCell ref="AK99:AK100"/>
    <mergeCell ref="AL99:AL100"/>
    <mergeCell ref="AM99:AM100"/>
    <mergeCell ref="AN99:AN100"/>
    <mergeCell ref="AO99:AO100"/>
    <mergeCell ref="AP99:AP100"/>
    <mergeCell ref="BN99:BN100"/>
    <mergeCell ref="BR99:BR100"/>
    <mergeCell ref="CE99:CE100"/>
    <mergeCell ref="CF99:CF100"/>
    <mergeCell ref="CO99:CO100"/>
    <mergeCell ref="CP99:CP100"/>
    <mergeCell ref="CT99:CT100"/>
    <mergeCell ref="CU99:CU100"/>
    <mergeCell ref="AS99:AS100"/>
    <mergeCell ref="AT99:AT100"/>
    <mergeCell ref="AU99:AU100"/>
    <mergeCell ref="AV99:AV100"/>
    <mergeCell ref="AW99:AW100"/>
    <mergeCell ref="AX99:AX100"/>
    <mergeCell ref="BM99:BM100"/>
    <mergeCell ref="AO101:AO102"/>
    <mergeCell ref="AP101:AP102"/>
    <mergeCell ref="AQ101:AQ102"/>
    <mergeCell ref="AR101:AR102"/>
    <mergeCell ref="AS101:AS102"/>
    <mergeCell ref="AT101:AT102"/>
    <mergeCell ref="AU101:AU102"/>
    <mergeCell ref="CE101:CE102"/>
    <mergeCell ref="CF101:CF102"/>
    <mergeCell ref="CO101:CO102"/>
    <mergeCell ref="CP101:CP102"/>
    <mergeCell ref="CT101:CT102"/>
    <mergeCell ref="CU101:CU102"/>
    <mergeCell ref="AV101:AV102"/>
    <mergeCell ref="AW101:AW102"/>
    <mergeCell ref="AX101:AX102"/>
    <mergeCell ref="BM101:BM102"/>
    <mergeCell ref="BN101:BN102"/>
    <mergeCell ref="BR101:BR102"/>
    <mergeCell ref="BS101:BS102"/>
    <mergeCell ref="B101:B102"/>
    <mergeCell ref="C101:C102"/>
    <mergeCell ref="D101:D102"/>
    <mergeCell ref="E101:E102"/>
    <mergeCell ref="F101:F102"/>
    <mergeCell ref="H101:H102"/>
    <mergeCell ref="J101:J102"/>
    <mergeCell ref="B103:B104"/>
    <mergeCell ref="C103:C104"/>
    <mergeCell ref="D103:D104"/>
    <mergeCell ref="E103:E104"/>
    <mergeCell ref="F103:F104"/>
    <mergeCell ref="H103:H104"/>
    <mergeCell ref="J103:J104"/>
    <mergeCell ref="AH103:AH104"/>
    <mergeCell ref="AI103:AI104"/>
    <mergeCell ref="Z103:Z104"/>
    <mergeCell ref="AB103:AB104"/>
    <mergeCell ref="AC103:AC104"/>
    <mergeCell ref="AD103:AD104"/>
    <mergeCell ref="AE103:AE104"/>
    <mergeCell ref="AF103:AF104"/>
    <mergeCell ref="AG103:AG104"/>
    <mergeCell ref="AQ103:AQ104"/>
    <mergeCell ref="AR103:AR104"/>
    <mergeCell ref="CE103:CE104"/>
    <mergeCell ref="CF103:CF104"/>
    <mergeCell ref="CO103:CO104"/>
    <mergeCell ref="CP103:CP104"/>
    <mergeCell ref="CT103:CT104"/>
    <mergeCell ref="CU103:CU104"/>
    <mergeCell ref="AJ103:AJ104"/>
    <mergeCell ref="AK103:AK104"/>
    <mergeCell ref="AL103:AL104"/>
    <mergeCell ref="AM103:AM104"/>
    <mergeCell ref="AN103:AN104"/>
    <mergeCell ref="AO103:AO104"/>
    <mergeCell ref="AP103:AP104"/>
    <mergeCell ref="CT107:CT108"/>
    <mergeCell ref="CU107:CU108"/>
    <mergeCell ref="BS107:BS108"/>
    <mergeCell ref="BW107:BW108"/>
    <mergeCell ref="BX107:BX108"/>
    <mergeCell ref="CE107:CE108"/>
    <mergeCell ref="CF107:CF108"/>
    <mergeCell ref="CO107:CO108"/>
    <mergeCell ref="CP107:CP108"/>
    <mergeCell ref="L105:L106"/>
    <mergeCell ref="N105:N106"/>
    <mergeCell ref="P105:P106"/>
    <mergeCell ref="R105:R106"/>
    <mergeCell ref="T105:T106"/>
    <mergeCell ref="V105:V106"/>
    <mergeCell ref="X105:X106"/>
    <mergeCell ref="Z105:Z106"/>
    <mergeCell ref="AB105:AB106"/>
    <mergeCell ref="AC105:AC106"/>
    <mergeCell ref="AD105:AD106"/>
    <mergeCell ref="AE105:AE106"/>
    <mergeCell ref="AF105:AF106"/>
    <mergeCell ref="AG105:AG106"/>
    <mergeCell ref="BW105:BW106"/>
    <mergeCell ref="BX105:BX106"/>
    <mergeCell ref="CE105:CE106"/>
    <mergeCell ref="CF105:CF106"/>
    <mergeCell ref="CO105:CO106"/>
    <mergeCell ref="CP105:CP106"/>
    <mergeCell ref="CT105:CT106"/>
    <mergeCell ref="CU105:CU106"/>
    <mergeCell ref="L107:L108"/>
    <mergeCell ref="N107:N108"/>
    <mergeCell ref="P107:P108"/>
    <mergeCell ref="R107:R108"/>
    <mergeCell ref="T107:T108"/>
    <mergeCell ref="V107:V108"/>
    <mergeCell ref="X107:X108"/>
    <mergeCell ref="AH105:AH106"/>
    <mergeCell ref="AI105:AI106"/>
    <mergeCell ref="AJ105:AJ106"/>
    <mergeCell ref="AK105:AK106"/>
    <mergeCell ref="AL105:AL106"/>
    <mergeCell ref="AM105:AM106"/>
    <mergeCell ref="AN105:AN106"/>
    <mergeCell ref="AO105:AO106"/>
    <mergeCell ref="AP105:AP106"/>
    <mergeCell ref="AQ105:AQ106"/>
    <mergeCell ref="AR105:AR106"/>
    <mergeCell ref="AS105:AS106"/>
    <mergeCell ref="AT105:AT106"/>
    <mergeCell ref="AU105:AU106"/>
    <mergeCell ref="AV105:AV106"/>
    <mergeCell ref="AW105:AW106"/>
    <mergeCell ref="AX105:AX106"/>
    <mergeCell ref="BM105:BM106"/>
    <mergeCell ref="BN105:BN106"/>
    <mergeCell ref="BR105:BR106"/>
    <mergeCell ref="BS105:BS106"/>
    <mergeCell ref="B93:B94"/>
    <mergeCell ref="C93:C94"/>
    <mergeCell ref="D93:D94"/>
    <mergeCell ref="E93:E94"/>
    <mergeCell ref="F93:F94"/>
    <mergeCell ref="H93:H94"/>
    <mergeCell ref="J93:J94"/>
    <mergeCell ref="B95:B96"/>
    <mergeCell ref="C95:C96"/>
    <mergeCell ref="D95:D96"/>
    <mergeCell ref="E95:E96"/>
    <mergeCell ref="F95:F96"/>
    <mergeCell ref="H95:H96"/>
    <mergeCell ref="J95:J96"/>
    <mergeCell ref="L97:L98"/>
    <mergeCell ref="N97:N98"/>
    <mergeCell ref="P97:P98"/>
    <mergeCell ref="R97:R98"/>
    <mergeCell ref="T97:T98"/>
    <mergeCell ref="V97:V98"/>
    <mergeCell ref="X97:X98"/>
    <mergeCell ref="Z97:Z98"/>
    <mergeCell ref="AB97:AB98"/>
    <mergeCell ref="AC97:AC98"/>
    <mergeCell ref="AD97:AD98"/>
    <mergeCell ref="AE97:AE98"/>
    <mergeCell ref="AF97:AF98"/>
    <mergeCell ref="AG97:AG98"/>
    <mergeCell ref="BW97:BW98"/>
    <mergeCell ref="BX97:BX98"/>
    <mergeCell ref="BS99:BS100"/>
    <mergeCell ref="BW99:BW100"/>
    <mergeCell ref="BX99:BX100"/>
    <mergeCell ref="L99:L100"/>
    <mergeCell ref="N99:N100"/>
    <mergeCell ref="P99:P100"/>
    <mergeCell ref="R99:R100"/>
    <mergeCell ref="T99:T100"/>
    <mergeCell ref="V99:V100"/>
    <mergeCell ref="X99:X100"/>
    <mergeCell ref="AH97:AH98"/>
    <mergeCell ref="AI97:AI98"/>
    <mergeCell ref="AJ97:AJ98"/>
    <mergeCell ref="AK97:AK98"/>
    <mergeCell ref="AL97:AL98"/>
    <mergeCell ref="AM97:AM98"/>
    <mergeCell ref="AN97:AN98"/>
    <mergeCell ref="BN103:BN104"/>
    <mergeCell ref="BR103:BR104"/>
    <mergeCell ref="AS103:AS104"/>
    <mergeCell ref="AT103:AT104"/>
    <mergeCell ref="AU103:AU104"/>
    <mergeCell ref="AV103:AV104"/>
    <mergeCell ref="AW103:AW104"/>
    <mergeCell ref="AX103:AX104"/>
    <mergeCell ref="BM103:BM104"/>
    <mergeCell ref="B97:B98"/>
    <mergeCell ref="C97:C98"/>
    <mergeCell ref="D97:D98"/>
    <mergeCell ref="E97:E98"/>
    <mergeCell ref="F97:F98"/>
    <mergeCell ref="H97:H98"/>
    <mergeCell ref="J97:J98"/>
    <mergeCell ref="L101:L102"/>
    <mergeCell ref="N101:N102"/>
    <mergeCell ref="P101:P102"/>
    <mergeCell ref="R101:R102"/>
    <mergeCell ref="T101:T102"/>
    <mergeCell ref="V101:V102"/>
    <mergeCell ref="X101:X102"/>
    <mergeCell ref="Z101:Z102"/>
    <mergeCell ref="AB101:AB102"/>
    <mergeCell ref="AC101:AC102"/>
    <mergeCell ref="AD101:AD102"/>
    <mergeCell ref="AE101:AE102"/>
    <mergeCell ref="AF101:AF102"/>
    <mergeCell ref="AG101:AG102"/>
    <mergeCell ref="BW101:BW102"/>
    <mergeCell ref="BX101:BX102"/>
    <mergeCell ref="BS103:BS104"/>
    <mergeCell ref="BW103:BW104"/>
    <mergeCell ref="BX103:BX104"/>
    <mergeCell ref="L103:L104"/>
    <mergeCell ref="N103:N104"/>
    <mergeCell ref="P103:P104"/>
    <mergeCell ref="R103:R104"/>
    <mergeCell ref="T103:T104"/>
    <mergeCell ref="V103:V104"/>
    <mergeCell ref="X103:X104"/>
    <mergeCell ref="AH101:AH102"/>
    <mergeCell ref="AI101:AI102"/>
    <mergeCell ref="AJ101:AJ102"/>
    <mergeCell ref="AK101:AK102"/>
    <mergeCell ref="AL101:AL102"/>
    <mergeCell ref="AM101:AM102"/>
    <mergeCell ref="AN101:AN102"/>
    <mergeCell ref="B99:B100"/>
    <mergeCell ref="C99:C100"/>
    <mergeCell ref="D99:D100"/>
    <mergeCell ref="E99:E100"/>
    <mergeCell ref="F99:F100"/>
    <mergeCell ref="H99:H100"/>
    <mergeCell ref="J99:J100"/>
    <mergeCell ref="AH107:AH108"/>
    <mergeCell ref="AI107:AI108"/>
    <mergeCell ref="Z107:Z108"/>
    <mergeCell ref="AB107:AB108"/>
    <mergeCell ref="AC107:AC108"/>
    <mergeCell ref="AD107:AD108"/>
    <mergeCell ref="AE107:AE108"/>
    <mergeCell ref="AF107:AF108"/>
    <mergeCell ref="AG107:AG108"/>
    <mergeCell ref="AQ107:AQ108"/>
    <mergeCell ref="AR107:AR108"/>
    <mergeCell ref="AJ107:AJ108"/>
    <mergeCell ref="AK107:AK108"/>
    <mergeCell ref="AL107:AL108"/>
    <mergeCell ref="AM107:AM108"/>
    <mergeCell ref="AN107:AN108"/>
    <mergeCell ref="AO107:AO108"/>
    <mergeCell ref="AP107:AP108"/>
    <mergeCell ref="AS107:AS108"/>
    <mergeCell ref="AT107:AT108"/>
    <mergeCell ref="AU107:AU108"/>
    <mergeCell ref="AV107:AV108"/>
    <mergeCell ref="AW107:AW108"/>
    <mergeCell ref="AX107:AX108"/>
    <mergeCell ref="BM107:BM108"/>
    <mergeCell ref="BX109:BX110"/>
    <mergeCell ref="CE109:CE110"/>
    <mergeCell ref="CF109:CF110"/>
    <mergeCell ref="CO109:CO110"/>
    <mergeCell ref="CP109:CP110"/>
    <mergeCell ref="CT109:CT110"/>
    <mergeCell ref="CU109:CU110"/>
    <mergeCell ref="BN107:BN108"/>
    <mergeCell ref="BR107:BR108"/>
    <mergeCell ref="BM109:BM110"/>
    <mergeCell ref="BN109:BN110"/>
    <mergeCell ref="BR109:BR110"/>
    <mergeCell ref="BS109:BS110"/>
    <mergeCell ref="BW109:BW110"/>
    <mergeCell ref="B107:B108"/>
    <mergeCell ref="C107:C108"/>
    <mergeCell ref="D107:D108"/>
    <mergeCell ref="E107:E108"/>
    <mergeCell ref="F107:F108"/>
    <mergeCell ref="H107:H108"/>
    <mergeCell ref="J107:J108"/>
    <mergeCell ref="B109:B110"/>
    <mergeCell ref="C109:C110"/>
    <mergeCell ref="D109:D110"/>
    <mergeCell ref="E109:E110"/>
    <mergeCell ref="F109:F110"/>
    <mergeCell ref="H109:H110"/>
    <mergeCell ref="J109:J110"/>
    <mergeCell ref="AH111:AH112"/>
    <mergeCell ref="AI111:AI112"/>
    <mergeCell ref="AJ111:AJ112"/>
    <mergeCell ref="AK111:AK112"/>
    <mergeCell ref="AL111:AL112"/>
    <mergeCell ref="AM111:AM112"/>
    <mergeCell ref="AN111:AN112"/>
    <mergeCell ref="BX111:BX112"/>
    <mergeCell ref="CE111:CE112"/>
    <mergeCell ref="CF111:CF112"/>
    <mergeCell ref="CO111:CO112"/>
    <mergeCell ref="CP111:CP112"/>
    <mergeCell ref="CT111:CT112"/>
    <mergeCell ref="CU111:CU112"/>
    <mergeCell ref="AO111:AO112"/>
    <mergeCell ref="AP111:AP112"/>
    <mergeCell ref="BM111:BM112"/>
    <mergeCell ref="BN111:BN112"/>
    <mergeCell ref="BR111:BR112"/>
    <mergeCell ref="BS111:BS112"/>
    <mergeCell ref="BW111:BW112"/>
    <mergeCell ref="B105:B106"/>
    <mergeCell ref="C105:C106"/>
    <mergeCell ref="D105:D106"/>
    <mergeCell ref="E105:E106"/>
    <mergeCell ref="F105:F106"/>
    <mergeCell ref="H105:H106"/>
    <mergeCell ref="J105:J106"/>
    <mergeCell ref="Z109:Z110"/>
    <mergeCell ref="AB109:AB110"/>
    <mergeCell ref="AC109:AC110"/>
    <mergeCell ref="AD109:AD110"/>
    <mergeCell ref="AE109:AE110"/>
    <mergeCell ref="AF109:AF110"/>
    <mergeCell ref="AG109:AG110"/>
    <mergeCell ref="AH109:AH110"/>
    <mergeCell ref="AI109:AI110"/>
    <mergeCell ref="AJ109:AJ110"/>
    <mergeCell ref="AK109:AK110"/>
    <mergeCell ref="AL109:AL110"/>
    <mergeCell ref="AM109:AM110"/>
    <mergeCell ref="AN109:AN110"/>
    <mergeCell ref="AV109:AV110"/>
    <mergeCell ref="AW109:AW110"/>
    <mergeCell ref="AX109:AX110"/>
    <mergeCell ref="B111:B112"/>
    <mergeCell ref="C111:C112"/>
    <mergeCell ref="D111:D112"/>
    <mergeCell ref="E111:E112"/>
    <mergeCell ref="F111:F112"/>
    <mergeCell ref="H111:H112"/>
    <mergeCell ref="J111:J112"/>
    <mergeCell ref="Z111:Z112"/>
    <mergeCell ref="AB111:AB112"/>
    <mergeCell ref="AC111:AC112"/>
    <mergeCell ref="AD111:AD112"/>
    <mergeCell ref="AE111:AE112"/>
    <mergeCell ref="AF111:AF112"/>
    <mergeCell ref="AG111:AG112"/>
    <mergeCell ref="AQ111:AQ112"/>
    <mergeCell ref="AR111:AR112"/>
    <mergeCell ref="AS111:AS112"/>
    <mergeCell ref="AT111:AT112"/>
    <mergeCell ref="AU111:AU112"/>
    <mergeCell ref="AV111:AV112"/>
    <mergeCell ref="AW111:AW112"/>
    <mergeCell ref="AX111:AX112"/>
    <mergeCell ref="AO109:AO110"/>
    <mergeCell ref="AP109:AP110"/>
    <mergeCell ref="AQ109:AQ110"/>
    <mergeCell ref="AR109:AR110"/>
    <mergeCell ref="AS109:AS110"/>
    <mergeCell ref="AT109:AT110"/>
    <mergeCell ref="AU109:AU110"/>
    <mergeCell ref="AO113:AO114"/>
    <mergeCell ref="AP113:AP114"/>
    <mergeCell ref="AQ113:AQ114"/>
    <mergeCell ref="AR113:AR114"/>
    <mergeCell ref="AS113:AS114"/>
    <mergeCell ref="AT113:AT114"/>
    <mergeCell ref="AU113:AU114"/>
    <mergeCell ref="CE113:CE114"/>
    <mergeCell ref="CF113:CF114"/>
    <mergeCell ref="CO113:CO114"/>
    <mergeCell ref="CP113:CP114"/>
    <mergeCell ref="CT113:CT114"/>
    <mergeCell ref="CU113:CU114"/>
    <mergeCell ref="AV113:AV114"/>
    <mergeCell ref="AW113:AW114"/>
    <mergeCell ref="AX113:AX114"/>
    <mergeCell ref="BM113:BM114"/>
    <mergeCell ref="BN113:BN114"/>
    <mergeCell ref="BR113:BR114"/>
    <mergeCell ref="BS113:BS114"/>
    <mergeCell ref="AH115:AH116"/>
    <mergeCell ref="AI115:AI116"/>
    <mergeCell ref="Z115:Z116"/>
    <mergeCell ref="AB115:AB116"/>
    <mergeCell ref="AC115:AC116"/>
    <mergeCell ref="AD115:AD116"/>
    <mergeCell ref="AE115:AE116"/>
    <mergeCell ref="AF115:AF116"/>
    <mergeCell ref="AG115:AG116"/>
    <mergeCell ref="AQ115:AQ116"/>
    <mergeCell ref="AR115:AR116"/>
    <mergeCell ref="AJ115:AJ116"/>
    <mergeCell ref="AK115:AK116"/>
    <mergeCell ref="AL115:AL116"/>
    <mergeCell ref="AM115:AM116"/>
    <mergeCell ref="AN115:AN116"/>
    <mergeCell ref="AO115:AO116"/>
    <mergeCell ref="AP115:AP116"/>
    <mergeCell ref="BN115:BN116"/>
    <mergeCell ref="BR115:BR116"/>
    <mergeCell ref="CE115:CE116"/>
    <mergeCell ref="CF115:CF116"/>
    <mergeCell ref="CO115:CO116"/>
    <mergeCell ref="CP115:CP116"/>
    <mergeCell ref="CT115:CT116"/>
    <mergeCell ref="CU115:CU116"/>
    <mergeCell ref="AS115:AS116"/>
    <mergeCell ref="AT115:AT116"/>
    <mergeCell ref="AU115:AU116"/>
    <mergeCell ref="AV115:AV116"/>
    <mergeCell ref="AW115:AW116"/>
    <mergeCell ref="AX115:AX116"/>
    <mergeCell ref="BM115:BM116"/>
    <mergeCell ref="AO117:AO118"/>
    <mergeCell ref="AP117:AP118"/>
    <mergeCell ref="AQ117:AQ118"/>
    <mergeCell ref="AR117:AR118"/>
    <mergeCell ref="AS117:AS118"/>
    <mergeCell ref="AT117:AT118"/>
    <mergeCell ref="AU117:AU118"/>
    <mergeCell ref="CE117:CE118"/>
    <mergeCell ref="CF117:CF118"/>
    <mergeCell ref="CO117:CO118"/>
    <mergeCell ref="CP117:CP118"/>
    <mergeCell ref="CT117:CT118"/>
    <mergeCell ref="CU117:CU118"/>
    <mergeCell ref="AV117:AV118"/>
    <mergeCell ref="AW117:AW118"/>
    <mergeCell ref="AX117:AX118"/>
    <mergeCell ref="BM117:BM118"/>
    <mergeCell ref="BN117:BN118"/>
    <mergeCell ref="BR117:BR118"/>
    <mergeCell ref="BS117:BS118"/>
    <mergeCell ref="Z139:Z140"/>
    <mergeCell ref="AB139:AB140"/>
    <mergeCell ref="L139:L140"/>
    <mergeCell ref="N139:N140"/>
    <mergeCell ref="P139:P140"/>
    <mergeCell ref="R139:R140"/>
    <mergeCell ref="T139:T140"/>
    <mergeCell ref="V139:V140"/>
    <mergeCell ref="X139:X140"/>
    <mergeCell ref="AV141:AV142"/>
    <mergeCell ref="AW141:AW142"/>
    <mergeCell ref="AX141:AX142"/>
    <mergeCell ref="AU143:AU144"/>
    <mergeCell ref="AV143:AV144"/>
    <mergeCell ref="AW143:AW144"/>
    <mergeCell ref="AX143:AX144"/>
    <mergeCell ref="AO141:AO142"/>
    <mergeCell ref="AP141:AP142"/>
    <mergeCell ref="AQ141:AQ142"/>
    <mergeCell ref="AR141:AR142"/>
    <mergeCell ref="AS141:AS142"/>
    <mergeCell ref="AT141:AT142"/>
    <mergeCell ref="AU141:AU142"/>
    <mergeCell ref="B143:B144"/>
    <mergeCell ref="C143:C144"/>
    <mergeCell ref="D143:D144"/>
    <mergeCell ref="E143:E144"/>
    <mergeCell ref="F143:F144"/>
    <mergeCell ref="H143:H144"/>
    <mergeCell ref="J143:J144"/>
    <mergeCell ref="Z141:Z142"/>
    <mergeCell ref="AB141:AB142"/>
    <mergeCell ref="AC141:AC142"/>
    <mergeCell ref="AD141:AD142"/>
    <mergeCell ref="AE141:AE142"/>
    <mergeCell ref="AF141:AF142"/>
    <mergeCell ref="AG141:AG142"/>
    <mergeCell ref="AH141:AH142"/>
    <mergeCell ref="AI141:AI142"/>
    <mergeCell ref="AJ141:AJ142"/>
    <mergeCell ref="AK141:AK142"/>
    <mergeCell ref="AL141:AL142"/>
    <mergeCell ref="AM141:AM142"/>
    <mergeCell ref="AN141:AN142"/>
    <mergeCell ref="Z143:Z144"/>
    <mergeCell ref="AB143:AB144"/>
    <mergeCell ref="L143:L144"/>
    <mergeCell ref="N143:N144"/>
    <mergeCell ref="P143:P144"/>
    <mergeCell ref="R143:R144"/>
    <mergeCell ref="T143:T144"/>
    <mergeCell ref="V143:V144"/>
    <mergeCell ref="X143:X144"/>
    <mergeCell ref="AV145:AV146"/>
    <mergeCell ref="AW145:AW146"/>
    <mergeCell ref="AX145:AX146"/>
    <mergeCell ref="AU147:AU148"/>
    <mergeCell ref="AV147:AV148"/>
    <mergeCell ref="AW147:AW148"/>
    <mergeCell ref="AX147:AX148"/>
    <mergeCell ref="AO145:AO146"/>
    <mergeCell ref="AP145:AP146"/>
    <mergeCell ref="AQ145:AQ146"/>
    <mergeCell ref="AR145:AR146"/>
    <mergeCell ref="AS145:AS146"/>
    <mergeCell ref="AT145:AT146"/>
    <mergeCell ref="AU145:AU146"/>
    <mergeCell ref="B147:B148"/>
    <mergeCell ref="C147:C148"/>
    <mergeCell ref="D147:D148"/>
    <mergeCell ref="E147:E148"/>
    <mergeCell ref="F147:F148"/>
    <mergeCell ref="H147:H148"/>
    <mergeCell ref="J147:J148"/>
    <mergeCell ref="Z145:Z146"/>
    <mergeCell ref="AB145:AB146"/>
    <mergeCell ref="AC145:AC146"/>
    <mergeCell ref="AD145:AD146"/>
    <mergeCell ref="AE145:AE146"/>
    <mergeCell ref="AF145:AF146"/>
    <mergeCell ref="AG145:AG146"/>
    <mergeCell ref="AH145:AH146"/>
    <mergeCell ref="AI145:AI146"/>
    <mergeCell ref="AJ145:AJ146"/>
    <mergeCell ref="AK145:AK146"/>
    <mergeCell ref="AL145:AL146"/>
    <mergeCell ref="AM145:AM146"/>
    <mergeCell ref="AN145:AN146"/>
    <mergeCell ref="AH135:AH136"/>
    <mergeCell ref="AI135:AI136"/>
    <mergeCell ref="Z135:Z136"/>
    <mergeCell ref="AB135:AB136"/>
    <mergeCell ref="AC135:AC136"/>
    <mergeCell ref="AD135:AD136"/>
    <mergeCell ref="AE135:AE136"/>
    <mergeCell ref="AF135:AF136"/>
    <mergeCell ref="AG135:AG136"/>
    <mergeCell ref="AV137:AV138"/>
    <mergeCell ref="AW137:AW138"/>
    <mergeCell ref="AX137:AX138"/>
    <mergeCell ref="AU139:AU140"/>
    <mergeCell ref="AV139:AV140"/>
    <mergeCell ref="AW139:AW140"/>
    <mergeCell ref="AX139:AX140"/>
    <mergeCell ref="AO137:AO138"/>
    <mergeCell ref="AP137:AP138"/>
    <mergeCell ref="AQ137:AQ138"/>
    <mergeCell ref="AR137:AR138"/>
    <mergeCell ref="AS137:AS138"/>
    <mergeCell ref="AT137:AT138"/>
    <mergeCell ref="AU137:AU138"/>
    <mergeCell ref="B139:B140"/>
    <mergeCell ref="C139:C140"/>
    <mergeCell ref="D139:D140"/>
    <mergeCell ref="E139:E140"/>
    <mergeCell ref="F139:F140"/>
    <mergeCell ref="H139:H140"/>
    <mergeCell ref="J139:J140"/>
    <mergeCell ref="Z137:Z138"/>
    <mergeCell ref="AB137:AB138"/>
    <mergeCell ref="AC137:AC138"/>
    <mergeCell ref="AD137:AD138"/>
    <mergeCell ref="AE137:AE138"/>
    <mergeCell ref="AF137:AF138"/>
    <mergeCell ref="AG137:AG138"/>
    <mergeCell ref="AH137:AH138"/>
    <mergeCell ref="AI137:AI138"/>
    <mergeCell ref="AJ137:AJ138"/>
    <mergeCell ref="AK137:AK138"/>
    <mergeCell ref="AL137:AL138"/>
    <mergeCell ref="AM137:AM138"/>
    <mergeCell ref="AN137:AN138"/>
    <mergeCell ref="AJ143:AJ144"/>
    <mergeCell ref="AK143:AK144"/>
    <mergeCell ref="AC143:AC144"/>
    <mergeCell ref="AD143:AD144"/>
    <mergeCell ref="AE143:AE144"/>
    <mergeCell ref="AF143:AF144"/>
    <mergeCell ref="AG143:AG144"/>
    <mergeCell ref="AH143:AH144"/>
    <mergeCell ref="AI143:AI144"/>
    <mergeCell ref="AS143:AS144"/>
    <mergeCell ref="AT143:AT144"/>
    <mergeCell ref="AL143:AL144"/>
    <mergeCell ref="AM143:AM144"/>
    <mergeCell ref="AN143:AN144"/>
    <mergeCell ref="AO143:AO144"/>
    <mergeCell ref="AP143:AP144"/>
    <mergeCell ref="AQ143:AQ144"/>
    <mergeCell ref="AR143:AR144"/>
    <mergeCell ref="L145:L146"/>
    <mergeCell ref="N145:N146"/>
    <mergeCell ref="P145:P146"/>
    <mergeCell ref="R145:R146"/>
    <mergeCell ref="T145:T146"/>
    <mergeCell ref="V145:V146"/>
    <mergeCell ref="X145:X146"/>
    <mergeCell ref="B145:B146"/>
    <mergeCell ref="C145:C146"/>
    <mergeCell ref="D145:D146"/>
    <mergeCell ref="E145:E146"/>
    <mergeCell ref="F145:F146"/>
    <mergeCell ref="H145:H146"/>
    <mergeCell ref="J145:J146"/>
    <mergeCell ref="Z147:Z148"/>
    <mergeCell ref="AB147:AB148"/>
    <mergeCell ref="B153:C153"/>
    <mergeCell ref="N153:S153"/>
    <mergeCell ref="Y153:AD153"/>
    <mergeCell ref="B154:C154"/>
    <mergeCell ref="N154:S154"/>
    <mergeCell ref="Y154:AD154"/>
    <mergeCell ref="AF154:AF155"/>
    <mergeCell ref="AF156:AF157"/>
    <mergeCell ref="L147:L148"/>
    <mergeCell ref="N147:N148"/>
    <mergeCell ref="P147:P148"/>
    <mergeCell ref="R147:R148"/>
    <mergeCell ref="T147:T148"/>
    <mergeCell ref="V147:V148"/>
    <mergeCell ref="X147:X148"/>
    <mergeCell ref="AJ147:AJ148"/>
    <mergeCell ref="AK147:AK148"/>
    <mergeCell ref="AC147:AC148"/>
    <mergeCell ref="AD147:AD148"/>
    <mergeCell ref="AE147:AE148"/>
    <mergeCell ref="AF147:AF148"/>
    <mergeCell ref="AG147:AG148"/>
    <mergeCell ref="AH147:AH148"/>
    <mergeCell ref="AI147:AI148"/>
    <mergeCell ref="AS147:AS148"/>
    <mergeCell ref="AT147:AT148"/>
    <mergeCell ref="AL147:AL148"/>
    <mergeCell ref="AM147:AM148"/>
    <mergeCell ref="AN147:AN148"/>
    <mergeCell ref="AO147:AO148"/>
    <mergeCell ref="AP147:AP148"/>
    <mergeCell ref="AQ147:AQ148"/>
    <mergeCell ref="AR147:AR148"/>
  </mergeCells>
  <conditionalFormatting sqref="AD2:AD63 AD65:AD148 AD154:AD164">
    <cfRule type="cellIs" dxfId="0" priority="1" operator="equal">
      <formula>1</formula>
    </cfRule>
  </conditionalFormatting>
  <conditionalFormatting sqref="AD2:AD63 AD65:AD148 AD154:AD164">
    <cfRule type="cellIs" dxfId="1" priority="2" operator="equal">
      <formula>2</formula>
    </cfRule>
  </conditionalFormatting>
  <conditionalFormatting sqref="AD2:AD63 AD65:AD148 AD154:AD164">
    <cfRule type="cellIs" dxfId="2" priority="3" operator="equal">
      <formula>3</formula>
    </cfRule>
  </conditionalFormatting>
  <conditionalFormatting sqref="T2:T63 V5:V63 T65:T164 V65:V148">
    <cfRule type="containsText" dxfId="3" priority="4" operator="containsText" text="Б1">
      <formula>NOT(ISERROR(SEARCH(("Б1"),(T2))))</formula>
    </cfRule>
  </conditionalFormatting>
  <conditionalFormatting sqref="T2:T63 V5:V63 T65:T164 V65:V148">
    <cfRule type="cellIs" dxfId="4" priority="5" operator="equal">
      <formula>"А1"</formula>
    </cfRule>
  </conditionalFormatting>
  <conditionalFormatting sqref="T2:T63 V5:V63 T65:T164 V65:V148">
    <cfRule type="cellIs" dxfId="5" priority="6" operator="equal">
      <formula>"А2"</formula>
    </cfRule>
  </conditionalFormatting>
  <conditionalFormatting sqref="T2:T63 V5:V63 T65:T164 V65:V148">
    <cfRule type="cellIs" dxfId="5" priority="7" operator="equal">
      <formula>"Б2"</formula>
    </cfRule>
  </conditionalFormatting>
  <conditionalFormatting sqref="F6:AA63 F65:AA148">
    <cfRule type="cellIs" dxfId="6" priority="8" operator="equal">
      <formula>"Х"</formula>
    </cfRule>
  </conditionalFormatting>
  <hyperlinks>
    <hyperlink r:id="rId1" ref="X1"/>
  </hyperlinks>
  <printOptions horizontalCentered="1"/>
  <pageMargins bottom="0.75" footer="0.0" header="0.0" left="0.25" right="0.25" top="0.12526843235504656"/>
  <pageSetup paperSize="9" orientation="portrait" pageOrder="overThenDown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1.43"/>
    <col customWidth="1" min="2" max="2" width="6.14"/>
    <col customWidth="1" min="3" max="3" width="24.14"/>
    <col customWidth="1" min="4" max="4" width="7.86"/>
    <col customWidth="1" min="5" max="5" width="6.86"/>
    <col customWidth="1" min="7" max="7" width="34.57"/>
    <col customWidth="1" min="8" max="9" width="8.57"/>
    <col customWidth="1" min="10" max="10" width="9.0"/>
  </cols>
  <sheetData>
    <row r="1" ht="32.25" customHeight="1">
      <c r="A1" s="49"/>
      <c r="B1" s="286" t="str">
        <f>'Пр.взв'!C2</f>
        <v>Первенство России среди юношей и девушек 16-18 лет (отбор на первенство мира и Европы) ЕКП № 1803</v>
      </c>
      <c r="C1" s="56"/>
      <c r="D1" s="56"/>
      <c r="E1" s="56"/>
      <c r="F1" s="56"/>
      <c r="G1" s="56"/>
      <c r="H1" s="56"/>
      <c r="I1" s="56"/>
      <c r="J1" s="59"/>
    </row>
    <row r="2" ht="27.0" customHeight="1">
      <c r="A2" s="49"/>
      <c r="B2" s="287"/>
      <c r="C2" s="287"/>
      <c r="D2" s="288" t="s">
        <v>368</v>
      </c>
      <c r="E2" s="56"/>
      <c r="F2" s="56"/>
      <c r="G2" s="59"/>
      <c r="H2" s="289"/>
      <c r="I2" s="289"/>
      <c r="J2" s="289"/>
    </row>
    <row r="3">
      <c r="A3" s="49"/>
      <c r="B3" s="290"/>
      <c r="C3" s="291" t="s">
        <v>369</v>
      </c>
      <c r="D3" s="292" t="str">
        <f>'Пр.хода'!Z3</f>
        <v>В.к.  71  кг</v>
      </c>
      <c r="H3" s="293"/>
      <c r="I3" s="293"/>
      <c r="J3" s="293"/>
    </row>
    <row r="4">
      <c r="A4" s="200"/>
      <c r="B4" s="294" t="s">
        <v>9</v>
      </c>
      <c r="C4" s="295" t="s">
        <v>10</v>
      </c>
      <c r="D4" s="296" t="s">
        <v>12</v>
      </c>
      <c r="E4" s="296" t="s">
        <v>370</v>
      </c>
      <c r="F4" s="297"/>
      <c r="G4" s="295" t="s">
        <v>371</v>
      </c>
      <c r="H4" s="298" t="s">
        <v>372</v>
      </c>
      <c r="I4" s="295" t="s">
        <v>373</v>
      </c>
      <c r="J4" s="299" t="s">
        <v>374</v>
      </c>
    </row>
    <row r="5" ht="12.75" customHeight="1">
      <c r="B5" s="257"/>
      <c r="C5" s="108"/>
      <c r="D5" s="107"/>
      <c r="E5" s="107"/>
      <c r="F5" s="106"/>
      <c r="G5" s="108"/>
      <c r="H5" s="107"/>
      <c r="I5" s="108"/>
      <c r="J5" s="300"/>
    </row>
    <row r="6" ht="27.75" customHeight="1">
      <c r="A6" s="74"/>
      <c r="B6" s="301" t="str">
        <f>'Пр.хода'!AZ6</f>
        <v>#N/A</v>
      </c>
      <c r="C6" s="302" t="str">
        <f>IF(B6=0,"",(VLOOKUP($B6,'Пр.взв'!$D$6:$J$63,2,0)))</f>
        <v>#N/A</v>
      </c>
      <c r="D6" s="303" t="str">
        <f>IF(B6=0,"",(VLOOKUP($B6,'Пр.взв'!$D$6:$J$63,5,0)))</f>
        <v>#N/A</v>
      </c>
      <c r="E6" s="302" t="str">
        <f>IF(B6=0,"",(VLOOKUP($B6,'Пр.взв'!$D$6:$M$63,6,0)))</f>
        <v>#N/A</v>
      </c>
      <c r="F6" s="302" t="str">
        <f>IF(B6=0,"",(VLOOKUP($B6,'Пр.взв'!$D$6:$M$63,8,0)))</f>
        <v>#N/A</v>
      </c>
      <c r="G6" s="304"/>
      <c r="H6" s="304"/>
      <c r="I6" s="304"/>
      <c r="J6" s="305"/>
    </row>
    <row r="7" ht="27.75" customHeight="1">
      <c r="A7" s="74"/>
      <c r="B7" s="306" t="str">
        <f>'Пр.хода'!AZ7</f>
        <v>#N/A</v>
      </c>
      <c r="C7" s="307" t="str">
        <f>IF(B7=0,"",(VLOOKUP($B7,'Пр.взв'!$D$6:$J$63,2,0)))</f>
        <v>#N/A</v>
      </c>
      <c r="D7" s="308" t="str">
        <f>IF(B7=0,"",(VLOOKUP($B7,'Пр.взв'!$D$6:$J$63,5,0)))</f>
        <v>#N/A</v>
      </c>
      <c r="E7" s="307" t="str">
        <f>IF(B7=0,"",(VLOOKUP($B7,'Пр.взв'!$D$6:$M$63,6,0)))</f>
        <v>#N/A</v>
      </c>
      <c r="F7" s="307" t="str">
        <f>IF(B7=0,"",(VLOOKUP($B7,'Пр.взв'!$D$6:$M$63,8,0)))</f>
        <v>#N/A</v>
      </c>
      <c r="G7" s="309"/>
      <c r="H7" s="309"/>
      <c r="I7" s="309"/>
      <c r="J7" s="310"/>
    </row>
    <row r="8" ht="31.5" customHeight="1">
      <c r="B8" s="311" t="s">
        <v>375</v>
      </c>
      <c r="E8" s="49"/>
      <c r="F8" s="49"/>
      <c r="G8" s="49"/>
      <c r="H8" s="49"/>
      <c r="I8" s="49"/>
      <c r="J8" s="49"/>
    </row>
    <row r="9" ht="31.5" customHeight="1">
      <c r="B9" s="49"/>
      <c r="C9" s="311" t="s">
        <v>376</v>
      </c>
      <c r="D9" s="312"/>
      <c r="E9" s="312"/>
      <c r="F9" s="312"/>
      <c r="G9" s="312"/>
      <c r="H9" s="312"/>
      <c r="I9" s="312"/>
      <c r="J9" s="312"/>
    </row>
    <row r="10" ht="31.5" customHeight="1">
      <c r="B10" s="49"/>
      <c r="C10" s="311" t="s">
        <v>377</v>
      </c>
      <c r="D10" s="313"/>
      <c r="E10" s="313"/>
      <c r="F10" s="313"/>
      <c r="G10" s="313"/>
      <c r="H10" s="313"/>
      <c r="I10" s="313"/>
      <c r="J10" s="313"/>
    </row>
    <row r="11">
      <c r="D11" s="282"/>
    </row>
    <row r="12">
      <c r="A12" s="49"/>
      <c r="B12" s="286" t="str">
        <f>B1</f>
        <v>Первенство России среди юношей и девушек 16-18 лет (отбор на первенство мира и Европы) ЕКП № 1803</v>
      </c>
      <c r="C12" s="56"/>
      <c r="D12" s="56"/>
      <c r="E12" s="56"/>
      <c r="F12" s="56"/>
      <c r="G12" s="56"/>
      <c r="H12" s="56"/>
      <c r="I12" s="56"/>
      <c r="J12" s="59"/>
    </row>
    <row r="13">
      <c r="A13" s="49"/>
      <c r="B13" s="287"/>
      <c r="C13" s="287"/>
      <c r="D13" s="288" t="s">
        <v>368</v>
      </c>
      <c r="E13" s="56"/>
      <c r="F13" s="56"/>
      <c r="G13" s="59"/>
      <c r="H13" s="289"/>
      <c r="I13" s="289"/>
      <c r="J13" s="289"/>
    </row>
    <row r="14">
      <c r="A14" s="49"/>
      <c r="B14" s="290"/>
      <c r="C14" s="291" t="s">
        <v>378</v>
      </c>
      <c r="D14" s="292" t="str">
        <f>D3</f>
        <v>В.к.  71  кг</v>
      </c>
      <c r="H14" s="293"/>
      <c r="I14" s="293"/>
      <c r="J14" s="293"/>
    </row>
    <row r="15">
      <c r="A15" s="200"/>
      <c r="B15" s="294" t="s">
        <v>9</v>
      </c>
      <c r="C15" s="295" t="s">
        <v>10</v>
      </c>
      <c r="D15" s="296" t="s">
        <v>12</v>
      </c>
      <c r="E15" s="296" t="s">
        <v>370</v>
      </c>
      <c r="F15" s="297"/>
      <c r="G15" s="295" t="s">
        <v>371</v>
      </c>
      <c r="H15" s="298" t="s">
        <v>372</v>
      </c>
      <c r="I15" s="295" t="s">
        <v>373</v>
      </c>
      <c r="J15" s="299" t="s">
        <v>374</v>
      </c>
    </row>
    <row r="16">
      <c r="B16" s="257"/>
      <c r="C16" s="108"/>
      <c r="D16" s="107"/>
      <c r="E16" s="107"/>
      <c r="F16" s="106"/>
      <c r="G16" s="108"/>
      <c r="H16" s="107"/>
      <c r="I16" s="108"/>
      <c r="J16" s="300"/>
    </row>
    <row r="17" ht="27.75" customHeight="1">
      <c r="A17" s="74"/>
      <c r="B17" s="301" t="str">
        <f>'Пр.хода'!BA6</f>
        <v>#N/A</v>
      </c>
      <c r="C17" s="302" t="str">
        <f>IF(B17=0,"",(VLOOKUP($B17,'Пр.взв'!$D$6:$J$63,2,0)))</f>
        <v>#N/A</v>
      </c>
      <c r="D17" s="303" t="str">
        <f>IF(B17=0,"",(VLOOKUP($B17,'Пр.взв'!$D$6:$J$63,5,0)))</f>
        <v>#N/A</v>
      </c>
      <c r="E17" s="302" t="str">
        <f>IF(B17=0,"",(VLOOKUP($B17,'Пр.взв'!$D$6:$M$63,6,0)))</f>
        <v>#N/A</v>
      </c>
      <c r="F17" s="302" t="str">
        <f>IF(B17=0,"",(VLOOKUP($B17,'Пр.взв'!$D$6:$M$63,8,0)))</f>
        <v>#N/A</v>
      </c>
      <c r="G17" s="304"/>
      <c r="H17" s="304"/>
      <c r="I17" s="304"/>
      <c r="J17" s="305"/>
    </row>
    <row r="18" ht="27.75" customHeight="1">
      <c r="A18" s="314"/>
      <c r="B18" s="306" t="str">
        <f>'Пр.хода'!BA7</f>
        <v>#N/A</v>
      </c>
      <c r="C18" s="307" t="str">
        <f>IF(B18=0,"",(VLOOKUP($B18,'Пр.взв'!$D$6:$J$63,2,0)))</f>
        <v>#N/A</v>
      </c>
      <c r="D18" s="308" t="str">
        <f>IF(B18=0,"",(VLOOKUP($B18,'Пр.взв'!$D$6:$J$63,5,0)))</f>
        <v>#N/A</v>
      </c>
      <c r="E18" s="307" t="str">
        <f>IF(B18=0,"",(VLOOKUP($B18,'Пр.взв'!$D$6:$M$63,6,0)))</f>
        <v>#N/A</v>
      </c>
      <c r="F18" s="307" t="str">
        <f>IF(B18=0,"",(VLOOKUP($B18,'Пр.взв'!$D$6:$M$63,8,0)))</f>
        <v>#N/A</v>
      </c>
      <c r="G18" s="309"/>
      <c r="H18" s="309"/>
      <c r="I18" s="309"/>
      <c r="J18" s="310"/>
    </row>
    <row r="19" ht="31.5" customHeight="1">
      <c r="B19" s="311" t="s">
        <v>375</v>
      </c>
      <c r="E19" s="49"/>
      <c r="F19" s="49"/>
      <c r="G19" s="49"/>
      <c r="H19" s="49"/>
      <c r="I19" s="49"/>
      <c r="J19" s="49"/>
    </row>
    <row r="20" ht="31.5" customHeight="1">
      <c r="B20" s="49"/>
      <c r="C20" s="311" t="s">
        <v>376</v>
      </c>
      <c r="D20" s="312"/>
      <c r="E20" s="312"/>
      <c r="F20" s="312"/>
      <c r="G20" s="312"/>
      <c r="H20" s="312"/>
      <c r="I20" s="312"/>
      <c r="J20" s="312"/>
    </row>
    <row r="21" ht="31.5" customHeight="1">
      <c r="B21" s="49"/>
      <c r="C21" s="311" t="s">
        <v>377</v>
      </c>
      <c r="D21" s="313"/>
      <c r="E21" s="313"/>
      <c r="F21" s="313"/>
      <c r="G21" s="313"/>
      <c r="H21" s="313"/>
      <c r="I21" s="313"/>
      <c r="J21" s="313"/>
    </row>
    <row r="22" ht="31.5" customHeight="1">
      <c r="B22" s="49"/>
      <c r="C22" s="311"/>
      <c r="D22" s="49"/>
      <c r="E22" s="49"/>
      <c r="F22" s="49"/>
      <c r="G22" s="49"/>
      <c r="H22" s="49"/>
      <c r="I22" s="49"/>
      <c r="J22" s="49"/>
    </row>
    <row r="23">
      <c r="A23" s="49"/>
      <c r="B23" s="286" t="str">
        <f>B1</f>
        <v>Первенство России среди юношей и девушек 16-18 лет (отбор на первенство мира и Европы) ЕКП № 1803</v>
      </c>
      <c r="C23" s="56"/>
      <c r="D23" s="56"/>
      <c r="E23" s="56"/>
      <c r="F23" s="56"/>
      <c r="G23" s="56"/>
      <c r="H23" s="56"/>
      <c r="I23" s="56"/>
      <c r="J23" s="59"/>
    </row>
    <row r="24">
      <c r="A24" s="49"/>
      <c r="B24" s="287"/>
      <c r="C24" s="287"/>
      <c r="D24" s="288" t="s">
        <v>379</v>
      </c>
      <c r="E24" s="56"/>
      <c r="F24" s="56"/>
      <c r="G24" s="59"/>
      <c r="H24" s="289"/>
      <c r="I24" s="289"/>
      <c r="J24" s="289"/>
    </row>
    <row r="25">
      <c r="A25" s="49"/>
      <c r="B25" s="290"/>
      <c r="C25" s="291"/>
      <c r="D25" s="292" t="str">
        <f>D3</f>
        <v>В.к.  71  кг</v>
      </c>
      <c r="H25" s="293"/>
      <c r="I25" s="293"/>
      <c r="J25" s="293"/>
    </row>
    <row r="26">
      <c r="A26" s="200"/>
      <c r="B26" s="294" t="s">
        <v>9</v>
      </c>
      <c r="C26" s="295" t="s">
        <v>10</v>
      </c>
      <c r="D26" s="296" t="s">
        <v>12</v>
      </c>
      <c r="E26" s="296" t="s">
        <v>370</v>
      </c>
      <c r="F26" s="297"/>
      <c r="G26" s="295" t="s">
        <v>371</v>
      </c>
      <c r="H26" s="298" t="s">
        <v>372</v>
      </c>
      <c r="I26" s="295" t="s">
        <v>373</v>
      </c>
      <c r="J26" s="299" t="s">
        <v>374</v>
      </c>
    </row>
    <row r="27">
      <c r="B27" s="257"/>
      <c r="C27" s="108"/>
      <c r="D27" s="107"/>
      <c r="E27" s="107"/>
      <c r="F27" s="106"/>
      <c r="G27" s="108"/>
      <c r="H27" s="107"/>
      <c r="I27" s="108"/>
      <c r="J27" s="300"/>
    </row>
    <row r="28" ht="27.75" customHeight="1">
      <c r="A28" s="74"/>
      <c r="B28" s="301" t="str">
        <f>'Пр.хода'!BB6</f>
        <v>#N/A</v>
      </c>
      <c r="C28" s="302" t="str">
        <f>IF(B28=0,"",(VLOOKUP($B28,'Пр.взв'!$D$6:$J$63,2,0)))</f>
        <v>#N/A</v>
      </c>
      <c r="D28" s="303" t="str">
        <f>IF(B28=0,"",(VLOOKUP($B28,'Пр.взв'!$D$6:$J$63,5,0)))</f>
        <v>#N/A</v>
      </c>
      <c r="E28" s="302" t="str">
        <f>IF(B28=0,"",(VLOOKUP($B28,'Пр.взв'!$D$6:$M$63,6,0)))</f>
        <v>#N/A</v>
      </c>
      <c r="F28" s="302" t="str">
        <f>IF(B28=0,"",(VLOOKUP($B28,'Пр.взв'!$D$6:$M$63,8,0)))</f>
        <v>#N/A</v>
      </c>
      <c r="G28" s="304"/>
      <c r="H28" s="304"/>
      <c r="I28" s="304"/>
      <c r="J28" s="305"/>
    </row>
    <row r="29" ht="27.75" customHeight="1">
      <c r="A29" s="314"/>
      <c r="B29" s="306" t="str">
        <f>'Пр.хода'!BB7</f>
        <v>#N/A</v>
      </c>
      <c r="C29" s="307" t="str">
        <f>IF(B29=0,"",(VLOOKUP($B29,'Пр.взв'!$D$6:$J$63,2,0)))</f>
        <v>#N/A</v>
      </c>
      <c r="D29" s="308" t="str">
        <f>IF(B29=0,"",(VLOOKUP($B29,'Пр.взв'!$D$6:$J$63,5,0)))</f>
        <v>#N/A</v>
      </c>
      <c r="E29" s="307" t="str">
        <f>IF(B29=0,"",(VLOOKUP($B29,'Пр.взв'!$D$6:$M$63,6,0)))</f>
        <v>#N/A</v>
      </c>
      <c r="F29" s="307" t="str">
        <f>IF(B29=0,"",(VLOOKUP($B29,'Пр.взв'!$D$6:$M$63,8,0)))</f>
        <v>#N/A</v>
      </c>
      <c r="G29" s="309"/>
      <c r="H29" s="309"/>
      <c r="I29" s="309"/>
      <c r="J29" s="310"/>
    </row>
    <row r="30" ht="31.5" customHeight="1">
      <c r="B30" s="311" t="s">
        <v>375</v>
      </c>
      <c r="E30" s="49"/>
      <c r="F30" s="49"/>
      <c r="G30" s="49"/>
      <c r="H30" s="49"/>
      <c r="I30" s="49"/>
      <c r="J30" s="49"/>
    </row>
    <row r="31" ht="31.5" customHeight="1">
      <c r="B31" s="49"/>
      <c r="C31" s="311" t="s">
        <v>376</v>
      </c>
      <c r="D31" s="312"/>
      <c r="E31" s="312"/>
      <c r="F31" s="312"/>
      <c r="G31" s="312"/>
      <c r="H31" s="312"/>
      <c r="I31" s="312"/>
      <c r="J31" s="312"/>
    </row>
    <row r="32" ht="31.5" customHeight="1">
      <c r="B32" s="49"/>
      <c r="C32" s="311" t="s">
        <v>377</v>
      </c>
      <c r="D32" s="313"/>
      <c r="E32" s="313"/>
      <c r="F32" s="313"/>
      <c r="G32" s="313"/>
      <c r="H32" s="313"/>
      <c r="I32" s="313"/>
      <c r="J32" s="313"/>
    </row>
    <row r="33">
      <c r="B33" s="49"/>
      <c r="C33" s="311"/>
      <c r="D33" s="49"/>
      <c r="E33" s="49"/>
      <c r="F33" s="49"/>
      <c r="G33" s="49"/>
      <c r="H33" s="49"/>
      <c r="I33" s="49"/>
      <c r="J33" s="49"/>
    </row>
    <row r="34">
      <c r="D34" s="282"/>
    </row>
    <row r="35">
      <c r="D35" s="282"/>
    </row>
    <row r="36">
      <c r="D36" s="282"/>
    </row>
    <row r="37">
      <c r="D37" s="282"/>
    </row>
    <row r="38">
      <c r="D38" s="282"/>
    </row>
    <row r="39">
      <c r="D39" s="282"/>
    </row>
    <row r="40">
      <c r="D40" s="282"/>
    </row>
    <row r="41">
      <c r="D41" s="282"/>
    </row>
    <row r="42">
      <c r="D42" s="282"/>
    </row>
    <row r="43">
      <c r="D43" s="282"/>
    </row>
    <row r="44">
      <c r="D44" s="282"/>
    </row>
    <row r="45">
      <c r="D45" s="282"/>
    </row>
    <row r="46">
      <c r="D46" s="282"/>
    </row>
    <row r="47">
      <c r="D47" s="282"/>
    </row>
    <row r="48">
      <c r="D48" s="282"/>
    </row>
    <row r="49">
      <c r="D49" s="282"/>
    </row>
    <row r="50">
      <c r="D50" s="282"/>
    </row>
    <row r="51">
      <c r="D51" s="282"/>
    </row>
    <row r="52">
      <c r="D52" s="282"/>
    </row>
    <row r="53">
      <c r="D53" s="282"/>
    </row>
    <row r="54">
      <c r="D54" s="282"/>
    </row>
    <row r="55">
      <c r="D55" s="282"/>
    </row>
    <row r="56">
      <c r="D56" s="282"/>
    </row>
    <row r="57">
      <c r="D57" s="282"/>
    </row>
    <row r="58">
      <c r="D58" s="282"/>
    </row>
    <row r="59">
      <c r="D59" s="282"/>
    </row>
    <row r="60">
      <c r="D60" s="282"/>
    </row>
    <row r="61">
      <c r="D61" s="282"/>
    </row>
    <row r="62">
      <c r="D62" s="282"/>
    </row>
    <row r="63">
      <c r="D63" s="282"/>
    </row>
    <row r="64">
      <c r="D64" s="282"/>
    </row>
    <row r="65">
      <c r="D65" s="282"/>
    </row>
    <row r="66">
      <c r="D66" s="282"/>
    </row>
    <row r="67">
      <c r="D67" s="282"/>
    </row>
    <row r="68">
      <c r="D68" s="282"/>
    </row>
    <row r="69">
      <c r="D69" s="282"/>
    </row>
    <row r="70">
      <c r="D70" s="282"/>
    </row>
    <row r="71">
      <c r="D71" s="282"/>
    </row>
    <row r="72">
      <c r="D72" s="282"/>
    </row>
    <row r="73">
      <c r="D73" s="282"/>
    </row>
    <row r="74">
      <c r="D74" s="282"/>
    </row>
    <row r="75">
      <c r="D75" s="282"/>
    </row>
    <row r="76">
      <c r="D76" s="282"/>
    </row>
    <row r="77">
      <c r="D77" s="282"/>
    </row>
    <row r="78">
      <c r="D78" s="282"/>
    </row>
    <row r="79">
      <c r="D79" s="282"/>
    </row>
    <row r="80">
      <c r="D80" s="282"/>
    </row>
    <row r="81">
      <c r="D81" s="282"/>
    </row>
    <row r="82">
      <c r="D82" s="282"/>
    </row>
    <row r="83">
      <c r="D83" s="282"/>
    </row>
    <row r="84">
      <c r="D84" s="282"/>
    </row>
    <row r="85">
      <c r="D85" s="282"/>
    </row>
    <row r="86">
      <c r="D86" s="282"/>
    </row>
    <row r="87">
      <c r="D87" s="282"/>
    </row>
    <row r="88">
      <c r="D88" s="282"/>
    </row>
    <row r="89">
      <c r="D89" s="282"/>
    </row>
    <row r="90">
      <c r="D90" s="282"/>
    </row>
    <row r="91">
      <c r="D91" s="282"/>
    </row>
    <row r="92">
      <c r="D92" s="282"/>
    </row>
    <row r="93">
      <c r="D93" s="282"/>
    </row>
    <row r="94">
      <c r="D94" s="282"/>
    </row>
    <row r="95">
      <c r="D95" s="282"/>
    </row>
    <row r="96">
      <c r="D96" s="282"/>
    </row>
    <row r="97">
      <c r="D97" s="282"/>
    </row>
    <row r="98">
      <c r="D98" s="282"/>
    </row>
    <row r="99">
      <c r="D99" s="282"/>
    </row>
    <row r="100">
      <c r="D100" s="282"/>
    </row>
    <row r="101">
      <c r="D101" s="282"/>
    </row>
    <row r="102">
      <c r="D102" s="282"/>
    </row>
    <row r="103">
      <c r="D103" s="282"/>
    </row>
    <row r="104">
      <c r="D104" s="282"/>
    </row>
    <row r="105">
      <c r="D105" s="282"/>
    </row>
    <row r="106">
      <c r="D106" s="282"/>
    </row>
    <row r="107">
      <c r="D107" s="282"/>
    </row>
    <row r="108">
      <c r="D108" s="282"/>
    </row>
    <row r="109">
      <c r="D109" s="282"/>
    </row>
    <row r="110">
      <c r="D110" s="282"/>
    </row>
    <row r="111">
      <c r="D111" s="282"/>
    </row>
    <row r="112">
      <c r="D112" s="282"/>
    </row>
    <row r="113">
      <c r="D113" s="282"/>
    </row>
    <row r="114">
      <c r="D114" s="282"/>
    </row>
    <row r="115">
      <c r="D115" s="282"/>
    </row>
    <row r="116">
      <c r="D116" s="282"/>
    </row>
    <row r="117">
      <c r="D117" s="282"/>
    </row>
    <row r="118">
      <c r="D118" s="282"/>
    </row>
    <row r="119">
      <c r="D119" s="282"/>
    </row>
    <row r="120">
      <c r="D120" s="282"/>
    </row>
    <row r="121">
      <c r="D121" s="282"/>
    </row>
    <row r="122">
      <c r="D122" s="282"/>
    </row>
    <row r="123">
      <c r="D123" s="282"/>
    </row>
    <row r="124">
      <c r="D124" s="282"/>
    </row>
    <row r="125">
      <c r="D125" s="282"/>
    </row>
    <row r="126">
      <c r="D126" s="282"/>
    </row>
    <row r="127">
      <c r="D127" s="282"/>
    </row>
    <row r="128">
      <c r="D128" s="282"/>
    </row>
    <row r="129">
      <c r="D129" s="282"/>
    </row>
    <row r="130">
      <c r="D130" s="282"/>
    </row>
    <row r="131">
      <c r="D131" s="282"/>
    </row>
    <row r="132">
      <c r="D132" s="282"/>
    </row>
    <row r="133">
      <c r="D133" s="282"/>
    </row>
    <row r="134">
      <c r="D134" s="282"/>
    </row>
    <row r="135">
      <c r="D135" s="282"/>
    </row>
    <row r="136">
      <c r="D136" s="282"/>
    </row>
    <row r="137">
      <c r="D137" s="282"/>
    </row>
    <row r="138">
      <c r="D138" s="282"/>
    </row>
    <row r="139">
      <c r="D139" s="282"/>
    </row>
    <row r="140">
      <c r="D140" s="282"/>
    </row>
    <row r="141">
      <c r="D141" s="282"/>
    </row>
    <row r="142">
      <c r="D142" s="282"/>
    </row>
    <row r="143">
      <c r="D143" s="282"/>
    </row>
    <row r="144">
      <c r="D144" s="282"/>
    </row>
    <row r="145">
      <c r="D145" s="282"/>
    </row>
    <row r="146">
      <c r="D146" s="282"/>
    </row>
    <row r="147">
      <c r="D147" s="282"/>
    </row>
    <row r="148">
      <c r="D148" s="282"/>
    </row>
    <row r="149">
      <c r="D149" s="282"/>
    </row>
    <row r="150">
      <c r="D150" s="282"/>
    </row>
    <row r="151">
      <c r="D151" s="282"/>
    </row>
    <row r="152">
      <c r="D152" s="282"/>
    </row>
    <row r="153">
      <c r="D153" s="282"/>
    </row>
    <row r="154">
      <c r="D154" s="282"/>
    </row>
    <row r="155">
      <c r="D155" s="282"/>
    </row>
    <row r="156">
      <c r="D156" s="282"/>
    </row>
    <row r="157">
      <c r="D157" s="282"/>
    </row>
    <row r="158">
      <c r="D158" s="282"/>
    </row>
    <row r="159">
      <c r="D159" s="282"/>
    </row>
    <row r="160">
      <c r="D160" s="282"/>
    </row>
    <row r="161">
      <c r="D161" s="282"/>
    </row>
    <row r="162">
      <c r="D162" s="282"/>
    </row>
    <row r="163">
      <c r="D163" s="282"/>
    </row>
    <row r="164">
      <c r="D164" s="282"/>
    </row>
    <row r="165">
      <c r="D165" s="282"/>
    </row>
    <row r="166">
      <c r="D166" s="282"/>
    </row>
    <row r="167">
      <c r="D167" s="282"/>
    </row>
    <row r="168">
      <c r="D168" s="282"/>
    </row>
    <row r="169">
      <c r="D169" s="282"/>
    </row>
    <row r="170">
      <c r="D170" s="282"/>
    </row>
    <row r="171">
      <c r="D171" s="282"/>
    </row>
    <row r="172">
      <c r="D172" s="282"/>
    </row>
    <row r="173">
      <c r="D173" s="282"/>
    </row>
    <row r="174">
      <c r="D174" s="282"/>
    </row>
    <row r="175">
      <c r="D175" s="282"/>
    </row>
    <row r="176">
      <c r="D176" s="282"/>
    </row>
    <row r="177">
      <c r="D177" s="282"/>
    </row>
    <row r="178">
      <c r="D178" s="282"/>
    </row>
    <row r="179">
      <c r="D179" s="282"/>
    </row>
    <row r="180">
      <c r="D180" s="282"/>
    </row>
    <row r="181">
      <c r="D181" s="282"/>
    </row>
    <row r="182">
      <c r="D182" s="282"/>
    </row>
    <row r="183">
      <c r="D183" s="282"/>
    </row>
    <row r="184">
      <c r="D184" s="282"/>
    </row>
    <row r="185">
      <c r="D185" s="282"/>
    </row>
    <row r="186">
      <c r="D186" s="282"/>
    </row>
    <row r="187">
      <c r="D187" s="282"/>
    </row>
    <row r="188">
      <c r="D188" s="282"/>
    </row>
    <row r="189">
      <c r="D189" s="282"/>
    </row>
    <row r="190">
      <c r="D190" s="282"/>
    </row>
    <row r="191">
      <c r="D191" s="282"/>
    </row>
    <row r="192">
      <c r="D192" s="282"/>
    </row>
    <row r="193">
      <c r="D193" s="282"/>
    </row>
    <row r="194">
      <c r="D194" s="282"/>
    </row>
    <row r="195">
      <c r="D195" s="282"/>
    </row>
    <row r="196">
      <c r="D196" s="282"/>
    </row>
    <row r="197">
      <c r="D197" s="282"/>
    </row>
    <row r="198">
      <c r="D198" s="282"/>
    </row>
    <row r="199">
      <c r="D199" s="282"/>
    </row>
    <row r="200">
      <c r="D200" s="282"/>
    </row>
    <row r="201">
      <c r="D201" s="282"/>
    </row>
    <row r="202">
      <c r="D202" s="282"/>
    </row>
    <row r="203">
      <c r="D203" s="282"/>
    </row>
    <row r="204">
      <c r="D204" s="282"/>
    </row>
    <row r="205">
      <c r="D205" s="282"/>
    </row>
    <row r="206">
      <c r="D206" s="282"/>
    </row>
    <row r="207">
      <c r="D207" s="282"/>
    </row>
    <row r="208">
      <c r="D208" s="282"/>
    </row>
    <row r="209">
      <c r="D209" s="282"/>
    </row>
    <row r="210">
      <c r="D210" s="282"/>
    </row>
    <row r="211">
      <c r="D211" s="282"/>
    </row>
    <row r="212">
      <c r="D212" s="282"/>
    </row>
    <row r="213">
      <c r="D213" s="282"/>
    </row>
    <row r="214">
      <c r="D214" s="282"/>
    </row>
    <row r="215">
      <c r="D215" s="282"/>
    </row>
    <row r="216">
      <c r="D216" s="282"/>
    </row>
    <row r="217">
      <c r="D217" s="282"/>
    </row>
    <row r="218">
      <c r="D218" s="282"/>
    </row>
    <row r="219">
      <c r="D219" s="282"/>
    </row>
    <row r="220">
      <c r="D220" s="282"/>
    </row>
    <row r="221">
      <c r="D221" s="282"/>
    </row>
    <row r="222">
      <c r="D222" s="282"/>
    </row>
    <row r="223">
      <c r="D223" s="282"/>
    </row>
    <row r="224">
      <c r="D224" s="282"/>
    </row>
    <row r="225">
      <c r="D225" s="282"/>
    </row>
    <row r="226">
      <c r="D226" s="282"/>
    </row>
    <row r="227">
      <c r="D227" s="282"/>
    </row>
    <row r="228">
      <c r="D228" s="282"/>
    </row>
    <row r="229">
      <c r="D229" s="282"/>
    </row>
    <row r="230">
      <c r="D230" s="282"/>
    </row>
    <row r="231">
      <c r="D231" s="282"/>
    </row>
    <row r="232">
      <c r="D232" s="282"/>
    </row>
    <row r="233">
      <c r="D233" s="282"/>
    </row>
    <row r="234">
      <c r="D234" s="282"/>
    </row>
    <row r="235">
      <c r="D235" s="282"/>
    </row>
    <row r="236">
      <c r="D236" s="282"/>
    </row>
    <row r="237">
      <c r="D237" s="282"/>
    </row>
    <row r="238">
      <c r="D238" s="282"/>
    </row>
    <row r="239">
      <c r="D239" s="282"/>
    </row>
    <row r="240">
      <c r="D240" s="282"/>
    </row>
    <row r="241">
      <c r="D241" s="282"/>
    </row>
    <row r="242">
      <c r="D242" s="282"/>
    </row>
    <row r="243">
      <c r="D243" s="282"/>
    </row>
    <row r="244">
      <c r="D244" s="282"/>
    </row>
    <row r="245">
      <c r="D245" s="282"/>
    </row>
    <row r="246">
      <c r="D246" s="282"/>
    </row>
    <row r="247">
      <c r="D247" s="282"/>
    </row>
    <row r="248">
      <c r="D248" s="282"/>
    </row>
    <row r="249">
      <c r="D249" s="282"/>
    </row>
    <row r="250">
      <c r="D250" s="282"/>
    </row>
    <row r="251">
      <c r="D251" s="282"/>
    </row>
    <row r="252">
      <c r="D252" s="282"/>
    </row>
    <row r="253">
      <c r="D253" s="282"/>
    </row>
    <row r="254">
      <c r="D254" s="282"/>
    </row>
    <row r="255">
      <c r="D255" s="282"/>
    </row>
    <row r="256">
      <c r="D256" s="282"/>
    </row>
    <row r="257">
      <c r="D257" s="282"/>
    </row>
    <row r="258">
      <c r="D258" s="282"/>
    </row>
    <row r="259">
      <c r="D259" s="282"/>
    </row>
    <row r="260">
      <c r="D260" s="282"/>
    </row>
    <row r="261">
      <c r="D261" s="282"/>
    </row>
    <row r="262">
      <c r="D262" s="282"/>
    </row>
    <row r="263">
      <c r="D263" s="282"/>
    </row>
    <row r="264">
      <c r="D264" s="282"/>
    </row>
    <row r="265">
      <c r="D265" s="282"/>
    </row>
    <row r="266">
      <c r="D266" s="282"/>
    </row>
    <row r="267">
      <c r="D267" s="282"/>
    </row>
    <row r="268">
      <c r="D268" s="282"/>
    </row>
    <row r="269">
      <c r="D269" s="282"/>
    </row>
    <row r="270">
      <c r="D270" s="282"/>
    </row>
    <row r="271">
      <c r="D271" s="282"/>
    </row>
    <row r="272">
      <c r="D272" s="282"/>
    </row>
    <row r="273">
      <c r="D273" s="282"/>
    </row>
    <row r="274">
      <c r="D274" s="282"/>
    </row>
    <row r="275">
      <c r="D275" s="282"/>
    </row>
    <row r="276">
      <c r="D276" s="282"/>
    </row>
    <row r="277">
      <c r="D277" s="282"/>
    </row>
    <row r="278">
      <c r="D278" s="282"/>
    </row>
    <row r="279">
      <c r="D279" s="282"/>
    </row>
    <row r="280">
      <c r="D280" s="282"/>
    </row>
    <row r="281">
      <c r="D281" s="282"/>
    </row>
    <row r="282">
      <c r="D282" s="282"/>
    </row>
    <row r="283">
      <c r="D283" s="282"/>
    </row>
    <row r="284">
      <c r="D284" s="282"/>
    </row>
    <row r="285">
      <c r="D285" s="282"/>
    </row>
    <row r="286">
      <c r="D286" s="282"/>
    </row>
    <row r="287">
      <c r="D287" s="282"/>
    </row>
    <row r="288">
      <c r="D288" s="282"/>
    </row>
    <row r="289">
      <c r="D289" s="282"/>
    </row>
    <row r="290">
      <c r="D290" s="282"/>
    </row>
    <row r="291">
      <c r="D291" s="282"/>
    </row>
    <row r="292">
      <c r="D292" s="282"/>
    </row>
    <row r="293">
      <c r="D293" s="282"/>
    </row>
    <row r="294">
      <c r="D294" s="282"/>
    </row>
    <row r="295">
      <c r="D295" s="282"/>
    </row>
    <row r="296">
      <c r="D296" s="282"/>
    </row>
    <row r="297">
      <c r="D297" s="282"/>
    </row>
    <row r="298">
      <c r="D298" s="282"/>
    </row>
    <row r="299">
      <c r="D299" s="282"/>
    </row>
    <row r="300">
      <c r="D300" s="282"/>
    </row>
    <row r="301">
      <c r="D301" s="282"/>
    </row>
    <row r="302">
      <c r="D302" s="282"/>
    </row>
    <row r="303">
      <c r="D303" s="282"/>
    </row>
    <row r="304">
      <c r="D304" s="282"/>
    </row>
    <row r="305">
      <c r="D305" s="282"/>
    </row>
    <row r="306">
      <c r="D306" s="282"/>
    </row>
    <row r="307">
      <c r="D307" s="282"/>
    </row>
    <row r="308">
      <c r="D308" s="282"/>
    </row>
    <row r="309">
      <c r="D309" s="282"/>
    </row>
    <row r="310">
      <c r="D310" s="282"/>
    </row>
    <row r="311">
      <c r="D311" s="282"/>
    </row>
    <row r="312">
      <c r="D312" s="282"/>
    </row>
    <row r="313">
      <c r="D313" s="282"/>
    </row>
    <row r="314">
      <c r="D314" s="282"/>
    </row>
    <row r="315">
      <c r="D315" s="282"/>
    </row>
    <row r="316">
      <c r="D316" s="282"/>
    </row>
    <row r="317">
      <c r="D317" s="282"/>
    </row>
    <row r="318">
      <c r="D318" s="282"/>
    </row>
    <row r="319">
      <c r="D319" s="282"/>
    </row>
    <row r="320">
      <c r="D320" s="282"/>
    </row>
    <row r="321">
      <c r="D321" s="282"/>
    </row>
    <row r="322">
      <c r="D322" s="282"/>
    </row>
    <row r="323">
      <c r="D323" s="282"/>
    </row>
    <row r="324">
      <c r="D324" s="282"/>
    </row>
    <row r="325">
      <c r="D325" s="282"/>
    </row>
    <row r="326">
      <c r="D326" s="282"/>
    </row>
    <row r="327">
      <c r="D327" s="282"/>
    </row>
    <row r="328">
      <c r="D328" s="282"/>
    </row>
    <row r="329">
      <c r="D329" s="282"/>
    </row>
    <row r="330">
      <c r="D330" s="282"/>
    </row>
    <row r="331">
      <c r="D331" s="282"/>
    </row>
    <row r="332">
      <c r="D332" s="282"/>
    </row>
    <row r="333">
      <c r="D333" s="282"/>
    </row>
    <row r="334">
      <c r="D334" s="282"/>
    </row>
    <row r="335">
      <c r="D335" s="282"/>
    </row>
    <row r="336">
      <c r="D336" s="282"/>
    </row>
    <row r="337">
      <c r="D337" s="282"/>
    </row>
    <row r="338">
      <c r="D338" s="282"/>
    </row>
    <row r="339">
      <c r="D339" s="282"/>
    </row>
    <row r="340">
      <c r="D340" s="282"/>
    </row>
    <row r="341">
      <c r="D341" s="282"/>
    </row>
    <row r="342">
      <c r="D342" s="282"/>
    </row>
    <row r="343">
      <c r="D343" s="282"/>
    </row>
    <row r="344">
      <c r="D344" s="282"/>
    </row>
    <row r="345">
      <c r="D345" s="282"/>
    </row>
    <row r="346">
      <c r="D346" s="282"/>
    </row>
    <row r="347">
      <c r="D347" s="282"/>
    </row>
    <row r="348">
      <c r="D348" s="282"/>
    </row>
    <row r="349">
      <c r="D349" s="282"/>
    </row>
    <row r="350">
      <c r="D350" s="282"/>
    </row>
    <row r="351">
      <c r="D351" s="282"/>
    </row>
    <row r="352">
      <c r="D352" s="282"/>
    </row>
    <row r="353">
      <c r="D353" s="282"/>
    </row>
    <row r="354">
      <c r="D354" s="282"/>
    </row>
    <row r="355">
      <c r="D355" s="282"/>
    </row>
    <row r="356">
      <c r="D356" s="282"/>
    </row>
    <row r="357">
      <c r="D357" s="282"/>
    </row>
    <row r="358">
      <c r="D358" s="282"/>
    </row>
    <row r="359">
      <c r="D359" s="282"/>
    </row>
    <row r="360">
      <c r="D360" s="282"/>
    </row>
    <row r="361">
      <c r="D361" s="282"/>
    </row>
    <row r="362">
      <c r="D362" s="282"/>
    </row>
    <row r="363">
      <c r="D363" s="282"/>
    </row>
    <row r="364">
      <c r="D364" s="282"/>
    </row>
    <row r="365">
      <c r="D365" s="282"/>
    </row>
    <row r="366">
      <c r="D366" s="282"/>
    </row>
    <row r="367">
      <c r="D367" s="282"/>
    </row>
    <row r="368">
      <c r="D368" s="282"/>
    </row>
    <row r="369">
      <c r="D369" s="282"/>
    </row>
    <row r="370">
      <c r="D370" s="282"/>
    </row>
    <row r="371">
      <c r="D371" s="282"/>
    </row>
    <row r="372">
      <c r="D372" s="282"/>
    </row>
    <row r="373">
      <c r="D373" s="282"/>
    </row>
    <row r="374">
      <c r="D374" s="282"/>
    </row>
    <row r="375">
      <c r="D375" s="282"/>
    </row>
    <row r="376">
      <c r="D376" s="282"/>
    </row>
    <row r="377">
      <c r="D377" s="282"/>
    </row>
    <row r="378">
      <c r="D378" s="282"/>
    </row>
    <row r="379">
      <c r="D379" s="282"/>
    </row>
    <row r="380">
      <c r="D380" s="282"/>
    </row>
    <row r="381">
      <c r="D381" s="282"/>
    </row>
    <row r="382">
      <c r="D382" s="282"/>
    </row>
    <row r="383">
      <c r="D383" s="282"/>
    </row>
    <row r="384">
      <c r="D384" s="282"/>
    </row>
    <row r="385">
      <c r="D385" s="282"/>
    </row>
    <row r="386">
      <c r="D386" s="282"/>
    </row>
    <row r="387">
      <c r="D387" s="282"/>
    </row>
    <row r="388">
      <c r="D388" s="282"/>
    </row>
    <row r="389">
      <c r="D389" s="282"/>
    </row>
    <row r="390">
      <c r="D390" s="282"/>
    </row>
    <row r="391">
      <c r="D391" s="282"/>
    </row>
    <row r="392">
      <c r="D392" s="282"/>
    </row>
    <row r="393">
      <c r="D393" s="282"/>
    </row>
    <row r="394">
      <c r="D394" s="282"/>
    </row>
    <row r="395">
      <c r="D395" s="282"/>
    </row>
    <row r="396">
      <c r="D396" s="282"/>
    </row>
    <row r="397">
      <c r="D397" s="282"/>
    </row>
    <row r="398">
      <c r="D398" s="282"/>
    </row>
    <row r="399">
      <c r="D399" s="282"/>
    </row>
    <row r="400">
      <c r="D400" s="282"/>
    </row>
    <row r="401">
      <c r="D401" s="282"/>
    </row>
    <row r="402">
      <c r="D402" s="282"/>
    </row>
    <row r="403">
      <c r="D403" s="282"/>
    </row>
    <row r="404">
      <c r="D404" s="282"/>
    </row>
    <row r="405">
      <c r="D405" s="282"/>
    </row>
    <row r="406">
      <c r="D406" s="282"/>
    </row>
    <row r="407">
      <c r="D407" s="282"/>
    </row>
    <row r="408">
      <c r="D408" s="282"/>
    </row>
    <row r="409">
      <c r="D409" s="282"/>
    </row>
    <row r="410">
      <c r="D410" s="282"/>
    </row>
    <row r="411">
      <c r="D411" s="282"/>
    </row>
    <row r="412">
      <c r="D412" s="282"/>
    </row>
    <row r="413">
      <c r="D413" s="282"/>
    </row>
    <row r="414">
      <c r="D414" s="282"/>
    </row>
    <row r="415">
      <c r="D415" s="282"/>
    </row>
    <row r="416">
      <c r="D416" s="282"/>
    </row>
    <row r="417">
      <c r="D417" s="282"/>
    </row>
    <row r="418">
      <c r="D418" s="282"/>
    </row>
    <row r="419">
      <c r="D419" s="282"/>
    </row>
    <row r="420">
      <c r="D420" s="282"/>
    </row>
    <row r="421">
      <c r="D421" s="282"/>
    </row>
    <row r="422">
      <c r="D422" s="282"/>
    </row>
    <row r="423">
      <c r="D423" s="282"/>
    </row>
    <row r="424">
      <c r="D424" s="282"/>
    </row>
    <row r="425">
      <c r="D425" s="282"/>
    </row>
    <row r="426">
      <c r="D426" s="282"/>
    </row>
    <row r="427">
      <c r="D427" s="282"/>
    </row>
    <row r="428">
      <c r="D428" s="282"/>
    </row>
    <row r="429">
      <c r="D429" s="282"/>
    </row>
    <row r="430">
      <c r="D430" s="282"/>
    </row>
    <row r="431">
      <c r="D431" s="282"/>
    </row>
    <row r="432">
      <c r="D432" s="282"/>
    </row>
    <row r="433">
      <c r="D433" s="282"/>
    </row>
    <row r="434">
      <c r="D434" s="282"/>
    </row>
    <row r="435">
      <c r="D435" s="282"/>
    </row>
    <row r="436">
      <c r="D436" s="282"/>
    </row>
    <row r="437">
      <c r="D437" s="282"/>
    </row>
    <row r="438">
      <c r="D438" s="282"/>
    </row>
    <row r="439">
      <c r="D439" s="282"/>
    </row>
    <row r="440">
      <c r="D440" s="282"/>
    </row>
    <row r="441">
      <c r="D441" s="282"/>
    </row>
    <row r="442">
      <c r="D442" s="282"/>
    </row>
    <row r="443">
      <c r="D443" s="282"/>
    </row>
    <row r="444">
      <c r="D444" s="282"/>
    </row>
    <row r="445">
      <c r="D445" s="282"/>
    </row>
    <row r="446">
      <c r="D446" s="282"/>
    </row>
    <row r="447">
      <c r="D447" s="282"/>
    </row>
    <row r="448">
      <c r="D448" s="282"/>
    </row>
    <row r="449">
      <c r="D449" s="282"/>
    </row>
    <row r="450">
      <c r="D450" s="282"/>
    </row>
    <row r="451">
      <c r="D451" s="282"/>
    </row>
    <row r="452">
      <c r="D452" s="282"/>
    </row>
    <row r="453">
      <c r="D453" s="282"/>
    </row>
    <row r="454">
      <c r="D454" s="282"/>
    </row>
    <row r="455">
      <c r="D455" s="282"/>
    </row>
    <row r="456">
      <c r="D456" s="282"/>
    </row>
    <row r="457">
      <c r="D457" s="282"/>
    </row>
    <row r="458">
      <c r="D458" s="282"/>
    </row>
    <row r="459">
      <c r="D459" s="282"/>
    </row>
    <row r="460">
      <c r="D460" s="282"/>
    </row>
    <row r="461">
      <c r="D461" s="282"/>
    </row>
    <row r="462">
      <c r="D462" s="282"/>
    </row>
    <row r="463">
      <c r="D463" s="282"/>
    </row>
    <row r="464">
      <c r="D464" s="282"/>
    </row>
    <row r="465">
      <c r="D465" s="282"/>
    </row>
    <row r="466">
      <c r="D466" s="282"/>
    </row>
    <row r="467">
      <c r="D467" s="282"/>
    </row>
    <row r="468">
      <c r="D468" s="282"/>
    </row>
    <row r="469">
      <c r="D469" s="282"/>
    </row>
    <row r="470">
      <c r="D470" s="282"/>
    </row>
    <row r="471">
      <c r="D471" s="282"/>
    </row>
    <row r="472">
      <c r="D472" s="282"/>
    </row>
    <row r="473">
      <c r="D473" s="282"/>
    </row>
    <row r="474">
      <c r="D474" s="282"/>
    </row>
    <row r="475">
      <c r="D475" s="282"/>
    </row>
    <row r="476">
      <c r="D476" s="282"/>
    </row>
    <row r="477">
      <c r="D477" s="282"/>
    </row>
    <row r="478">
      <c r="D478" s="282"/>
    </row>
    <row r="479">
      <c r="D479" s="282"/>
    </row>
    <row r="480">
      <c r="D480" s="282"/>
    </row>
    <row r="481">
      <c r="D481" s="282"/>
    </row>
    <row r="482">
      <c r="D482" s="282"/>
    </row>
    <row r="483">
      <c r="D483" s="282"/>
    </row>
    <row r="484">
      <c r="D484" s="282"/>
    </row>
    <row r="485">
      <c r="D485" s="282"/>
    </row>
    <row r="486">
      <c r="D486" s="282"/>
    </row>
    <row r="487">
      <c r="D487" s="282"/>
    </row>
    <row r="488">
      <c r="D488" s="282"/>
    </row>
    <row r="489">
      <c r="D489" s="282"/>
    </row>
    <row r="490">
      <c r="D490" s="282"/>
    </row>
    <row r="491">
      <c r="D491" s="282"/>
    </row>
    <row r="492">
      <c r="D492" s="282"/>
    </row>
    <row r="493">
      <c r="D493" s="282"/>
    </row>
    <row r="494">
      <c r="D494" s="282"/>
    </row>
    <row r="495">
      <c r="D495" s="282"/>
    </row>
    <row r="496">
      <c r="D496" s="282"/>
    </row>
    <row r="497">
      <c r="D497" s="282"/>
    </row>
    <row r="498">
      <c r="D498" s="282"/>
    </row>
    <row r="499">
      <c r="D499" s="282"/>
    </row>
    <row r="500">
      <c r="D500" s="282"/>
    </row>
    <row r="501">
      <c r="D501" s="282"/>
    </row>
    <row r="502">
      <c r="D502" s="282"/>
    </row>
    <row r="503">
      <c r="D503" s="282"/>
    </row>
    <row r="504">
      <c r="D504" s="282"/>
    </row>
    <row r="505">
      <c r="D505" s="282"/>
    </row>
    <row r="506">
      <c r="D506" s="282"/>
    </row>
    <row r="507">
      <c r="D507" s="282"/>
    </row>
    <row r="508">
      <c r="D508" s="282"/>
    </row>
    <row r="509">
      <c r="D509" s="282"/>
    </row>
    <row r="510">
      <c r="D510" s="282"/>
    </row>
    <row r="511">
      <c r="D511" s="282"/>
    </row>
    <row r="512">
      <c r="D512" s="282"/>
    </row>
    <row r="513">
      <c r="D513" s="282"/>
    </row>
    <row r="514">
      <c r="D514" s="282"/>
    </row>
    <row r="515">
      <c r="D515" s="282"/>
    </row>
    <row r="516">
      <c r="D516" s="282"/>
    </row>
    <row r="517">
      <c r="D517" s="282"/>
    </row>
    <row r="518">
      <c r="D518" s="282"/>
    </row>
    <row r="519">
      <c r="D519" s="282"/>
    </row>
    <row r="520">
      <c r="D520" s="282"/>
    </row>
    <row r="521">
      <c r="D521" s="282"/>
    </row>
    <row r="522">
      <c r="D522" s="282"/>
    </row>
    <row r="523">
      <c r="D523" s="282"/>
    </row>
    <row r="524">
      <c r="D524" s="282"/>
    </row>
    <row r="525">
      <c r="D525" s="282"/>
    </row>
    <row r="526">
      <c r="D526" s="282"/>
    </row>
    <row r="527">
      <c r="D527" s="282"/>
    </row>
    <row r="528">
      <c r="D528" s="282"/>
    </row>
    <row r="529">
      <c r="D529" s="282"/>
    </row>
    <row r="530">
      <c r="D530" s="282"/>
    </row>
    <row r="531">
      <c r="D531" s="282"/>
    </row>
    <row r="532">
      <c r="D532" s="282"/>
    </row>
    <row r="533">
      <c r="D533" s="282"/>
    </row>
    <row r="534">
      <c r="D534" s="282"/>
    </row>
    <row r="535">
      <c r="D535" s="282"/>
    </row>
    <row r="536">
      <c r="D536" s="282"/>
    </row>
    <row r="537">
      <c r="D537" s="282"/>
    </row>
    <row r="538">
      <c r="D538" s="282"/>
    </row>
    <row r="539">
      <c r="D539" s="282"/>
    </row>
    <row r="540">
      <c r="D540" s="282"/>
    </row>
    <row r="541">
      <c r="D541" s="282"/>
    </row>
    <row r="542">
      <c r="D542" s="282"/>
    </row>
    <row r="543">
      <c r="D543" s="282"/>
    </row>
    <row r="544">
      <c r="D544" s="282"/>
    </row>
    <row r="545">
      <c r="D545" s="282"/>
    </row>
    <row r="546">
      <c r="D546" s="282"/>
    </row>
    <row r="547">
      <c r="D547" s="282"/>
    </row>
    <row r="548">
      <c r="D548" s="282"/>
    </row>
    <row r="549">
      <c r="D549" s="282"/>
    </row>
    <row r="550">
      <c r="D550" s="282"/>
    </row>
    <row r="551">
      <c r="D551" s="282"/>
    </row>
    <row r="552">
      <c r="D552" s="282"/>
    </row>
    <row r="553">
      <c r="D553" s="282"/>
    </row>
    <row r="554">
      <c r="D554" s="282"/>
    </row>
    <row r="555">
      <c r="D555" s="282"/>
    </row>
    <row r="556">
      <c r="D556" s="282"/>
    </row>
    <row r="557">
      <c r="D557" s="282"/>
    </row>
    <row r="558">
      <c r="D558" s="282"/>
    </row>
    <row r="559">
      <c r="D559" s="282"/>
    </row>
    <row r="560">
      <c r="D560" s="282"/>
    </row>
    <row r="561">
      <c r="D561" s="282"/>
    </row>
    <row r="562">
      <c r="D562" s="282"/>
    </row>
    <row r="563">
      <c r="D563" s="282"/>
    </row>
    <row r="564">
      <c r="D564" s="282"/>
    </row>
    <row r="565">
      <c r="D565" s="282"/>
    </row>
    <row r="566">
      <c r="D566" s="282"/>
    </row>
    <row r="567">
      <c r="D567" s="282"/>
    </row>
    <row r="568">
      <c r="D568" s="282"/>
    </row>
    <row r="569">
      <c r="D569" s="282"/>
    </row>
    <row r="570">
      <c r="D570" s="282"/>
    </row>
    <row r="571">
      <c r="D571" s="282"/>
    </row>
    <row r="572">
      <c r="D572" s="282"/>
    </row>
    <row r="573">
      <c r="D573" s="282"/>
    </row>
    <row r="574">
      <c r="D574" s="282"/>
    </row>
    <row r="575">
      <c r="D575" s="282"/>
    </row>
    <row r="576">
      <c r="D576" s="282"/>
    </row>
    <row r="577">
      <c r="D577" s="282"/>
    </row>
    <row r="578">
      <c r="D578" s="282"/>
    </row>
    <row r="579">
      <c r="D579" s="282"/>
    </row>
    <row r="580">
      <c r="D580" s="282"/>
    </row>
    <row r="581">
      <c r="D581" s="282"/>
    </row>
    <row r="582">
      <c r="D582" s="282"/>
    </row>
    <row r="583">
      <c r="D583" s="282"/>
    </row>
    <row r="584">
      <c r="D584" s="282"/>
    </row>
    <row r="585">
      <c r="D585" s="282"/>
    </row>
    <row r="586">
      <c r="D586" s="282"/>
    </row>
    <row r="587">
      <c r="D587" s="282"/>
    </row>
    <row r="588">
      <c r="D588" s="282"/>
    </row>
    <row r="589">
      <c r="D589" s="282"/>
    </row>
    <row r="590">
      <c r="D590" s="282"/>
    </row>
    <row r="591">
      <c r="D591" s="282"/>
    </row>
    <row r="592">
      <c r="D592" s="282"/>
    </row>
    <row r="593">
      <c r="D593" s="282"/>
    </row>
    <row r="594">
      <c r="D594" s="282"/>
    </row>
    <row r="595">
      <c r="D595" s="282"/>
    </row>
    <row r="596">
      <c r="D596" s="282"/>
    </row>
    <row r="597">
      <c r="D597" s="282"/>
    </row>
    <row r="598">
      <c r="D598" s="282"/>
    </row>
    <row r="599">
      <c r="D599" s="282"/>
    </row>
    <row r="600">
      <c r="D600" s="282"/>
    </row>
    <row r="601">
      <c r="D601" s="282"/>
    </row>
    <row r="602">
      <c r="D602" s="282"/>
    </row>
    <row r="603">
      <c r="D603" s="282"/>
    </row>
    <row r="604">
      <c r="D604" s="282"/>
    </row>
    <row r="605">
      <c r="D605" s="282"/>
    </row>
    <row r="606">
      <c r="D606" s="282"/>
    </row>
    <row r="607">
      <c r="D607" s="282"/>
    </row>
    <row r="608">
      <c r="D608" s="282"/>
    </row>
    <row r="609">
      <c r="D609" s="282"/>
    </row>
    <row r="610">
      <c r="D610" s="282"/>
    </row>
    <row r="611">
      <c r="D611" s="282"/>
    </row>
    <row r="612">
      <c r="D612" s="282"/>
    </row>
    <row r="613">
      <c r="D613" s="282"/>
    </row>
    <row r="614">
      <c r="D614" s="282"/>
    </row>
    <row r="615">
      <c r="D615" s="282"/>
    </row>
    <row r="616">
      <c r="D616" s="282"/>
    </row>
    <row r="617">
      <c r="D617" s="282"/>
    </row>
    <row r="618">
      <c r="D618" s="282"/>
    </row>
    <row r="619">
      <c r="D619" s="282"/>
    </row>
    <row r="620">
      <c r="D620" s="282"/>
    </row>
    <row r="621">
      <c r="D621" s="282"/>
    </row>
    <row r="622">
      <c r="D622" s="282"/>
    </row>
    <row r="623">
      <c r="D623" s="282"/>
    </row>
    <row r="624">
      <c r="D624" s="282"/>
    </row>
    <row r="625">
      <c r="D625" s="282"/>
    </row>
    <row r="626">
      <c r="D626" s="282"/>
    </row>
    <row r="627">
      <c r="D627" s="282"/>
    </row>
    <row r="628">
      <c r="D628" s="282"/>
    </row>
    <row r="629">
      <c r="D629" s="282"/>
    </row>
    <row r="630">
      <c r="D630" s="282"/>
    </row>
    <row r="631">
      <c r="D631" s="282"/>
    </row>
    <row r="632">
      <c r="D632" s="282"/>
    </row>
    <row r="633">
      <c r="D633" s="282"/>
    </row>
    <row r="634">
      <c r="D634" s="282"/>
    </row>
    <row r="635">
      <c r="D635" s="282"/>
    </row>
    <row r="636">
      <c r="D636" s="282"/>
    </row>
    <row r="637">
      <c r="D637" s="282"/>
    </row>
    <row r="638">
      <c r="D638" s="282"/>
    </row>
    <row r="639">
      <c r="D639" s="282"/>
    </row>
    <row r="640">
      <c r="D640" s="282"/>
    </row>
    <row r="641">
      <c r="D641" s="282"/>
    </row>
    <row r="642">
      <c r="D642" s="282"/>
    </row>
    <row r="643">
      <c r="D643" s="282"/>
    </row>
    <row r="644">
      <c r="D644" s="282"/>
    </row>
    <row r="645">
      <c r="D645" s="282"/>
    </row>
    <row r="646">
      <c r="D646" s="282"/>
    </row>
    <row r="647">
      <c r="D647" s="282"/>
    </row>
    <row r="648">
      <c r="D648" s="282"/>
    </row>
    <row r="649">
      <c r="D649" s="282"/>
    </row>
    <row r="650">
      <c r="D650" s="282"/>
    </row>
    <row r="651">
      <c r="D651" s="282"/>
    </row>
    <row r="652">
      <c r="D652" s="282"/>
    </row>
    <row r="653">
      <c r="D653" s="282"/>
    </row>
    <row r="654">
      <c r="D654" s="282"/>
    </row>
    <row r="655">
      <c r="D655" s="282"/>
    </row>
    <row r="656">
      <c r="D656" s="282"/>
    </row>
    <row r="657">
      <c r="D657" s="282"/>
    </row>
    <row r="658">
      <c r="D658" s="282"/>
    </row>
    <row r="659">
      <c r="D659" s="282"/>
    </row>
    <row r="660">
      <c r="D660" s="282"/>
    </row>
    <row r="661">
      <c r="D661" s="282"/>
    </row>
    <row r="662">
      <c r="D662" s="282"/>
    </row>
    <row r="663">
      <c r="D663" s="282"/>
    </row>
    <row r="664">
      <c r="D664" s="282"/>
    </row>
    <row r="665">
      <c r="D665" s="282"/>
    </row>
    <row r="666">
      <c r="D666" s="282"/>
    </row>
    <row r="667">
      <c r="D667" s="282"/>
    </row>
    <row r="668">
      <c r="D668" s="282"/>
    </row>
    <row r="669">
      <c r="D669" s="282"/>
    </row>
    <row r="670">
      <c r="D670" s="282"/>
    </row>
    <row r="671">
      <c r="D671" s="282"/>
    </row>
    <row r="672">
      <c r="D672" s="282"/>
    </row>
    <row r="673">
      <c r="D673" s="282"/>
    </row>
    <row r="674">
      <c r="D674" s="282"/>
    </row>
    <row r="675">
      <c r="D675" s="282"/>
    </row>
    <row r="676">
      <c r="D676" s="282"/>
    </row>
    <row r="677">
      <c r="D677" s="282"/>
    </row>
    <row r="678">
      <c r="D678" s="282"/>
    </row>
    <row r="679">
      <c r="D679" s="282"/>
    </row>
    <row r="680">
      <c r="D680" s="282"/>
    </row>
    <row r="681">
      <c r="D681" s="282"/>
    </row>
    <row r="682">
      <c r="D682" s="282"/>
    </row>
    <row r="683">
      <c r="D683" s="282"/>
    </row>
    <row r="684">
      <c r="D684" s="282"/>
    </row>
    <row r="685">
      <c r="D685" s="282"/>
    </row>
    <row r="686">
      <c r="D686" s="282"/>
    </row>
    <row r="687">
      <c r="D687" s="282"/>
    </row>
    <row r="688">
      <c r="D688" s="282"/>
    </row>
    <row r="689">
      <c r="D689" s="282"/>
    </row>
    <row r="690">
      <c r="D690" s="282"/>
    </row>
    <row r="691">
      <c r="D691" s="282"/>
    </row>
    <row r="692">
      <c r="D692" s="282"/>
    </row>
    <row r="693">
      <c r="D693" s="282"/>
    </row>
    <row r="694">
      <c r="D694" s="282"/>
    </row>
    <row r="695">
      <c r="D695" s="282"/>
    </row>
    <row r="696">
      <c r="D696" s="282"/>
    </row>
    <row r="697">
      <c r="D697" s="282"/>
    </row>
    <row r="698">
      <c r="D698" s="282"/>
    </row>
    <row r="699">
      <c r="D699" s="282"/>
    </row>
    <row r="700">
      <c r="D700" s="282"/>
    </row>
    <row r="701">
      <c r="D701" s="282"/>
    </row>
    <row r="702">
      <c r="D702" s="282"/>
    </row>
    <row r="703">
      <c r="D703" s="282"/>
    </row>
    <row r="704">
      <c r="D704" s="282"/>
    </row>
    <row r="705">
      <c r="D705" s="282"/>
    </row>
    <row r="706">
      <c r="D706" s="282"/>
    </row>
    <row r="707">
      <c r="D707" s="282"/>
    </row>
    <row r="708">
      <c r="D708" s="282"/>
    </row>
    <row r="709">
      <c r="D709" s="282"/>
    </row>
    <row r="710">
      <c r="D710" s="282"/>
    </row>
    <row r="711">
      <c r="D711" s="282"/>
    </row>
    <row r="712">
      <c r="D712" s="282"/>
    </row>
    <row r="713">
      <c r="D713" s="282"/>
    </row>
    <row r="714">
      <c r="D714" s="282"/>
    </row>
    <row r="715">
      <c r="D715" s="282"/>
    </row>
    <row r="716">
      <c r="D716" s="282"/>
    </row>
    <row r="717">
      <c r="D717" s="282"/>
    </row>
    <row r="718">
      <c r="D718" s="282"/>
    </row>
    <row r="719">
      <c r="D719" s="282"/>
    </row>
    <row r="720">
      <c r="D720" s="282"/>
    </row>
    <row r="721">
      <c r="D721" s="282"/>
    </row>
    <row r="722">
      <c r="D722" s="282"/>
    </row>
    <row r="723">
      <c r="D723" s="282"/>
    </row>
    <row r="724">
      <c r="D724" s="282"/>
    </row>
    <row r="725">
      <c r="D725" s="282"/>
    </row>
    <row r="726">
      <c r="D726" s="282"/>
    </row>
    <row r="727">
      <c r="D727" s="282"/>
    </row>
    <row r="728">
      <c r="D728" s="282"/>
    </row>
    <row r="729">
      <c r="D729" s="282"/>
    </row>
    <row r="730">
      <c r="D730" s="282"/>
    </row>
    <row r="731">
      <c r="D731" s="282"/>
    </row>
    <row r="732">
      <c r="D732" s="282"/>
    </row>
    <row r="733">
      <c r="D733" s="282"/>
    </row>
    <row r="734">
      <c r="D734" s="282"/>
    </row>
    <row r="735">
      <c r="D735" s="282"/>
    </row>
    <row r="736">
      <c r="D736" s="282"/>
    </row>
    <row r="737">
      <c r="D737" s="282"/>
    </row>
    <row r="738">
      <c r="D738" s="282"/>
    </row>
    <row r="739">
      <c r="D739" s="282"/>
    </row>
    <row r="740">
      <c r="D740" s="282"/>
    </row>
    <row r="741">
      <c r="D741" s="282"/>
    </row>
    <row r="742">
      <c r="D742" s="282"/>
    </row>
    <row r="743">
      <c r="D743" s="282"/>
    </row>
    <row r="744">
      <c r="D744" s="282"/>
    </row>
    <row r="745">
      <c r="D745" s="282"/>
    </row>
    <row r="746">
      <c r="D746" s="282"/>
    </row>
    <row r="747">
      <c r="D747" s="282"/>
    </row>
    <row r="748">
      <c r="D748" s="282"/>
    </row>
    <row r="749">
      <c r="D749" s="282"/>
    </row>
    <row r="750">
      <c r="D750" s="282"/>
    </row>
    <row r="751">
      <c r="D751" s="282"/>
    </row>
    <row r="752">
      <c r="D752" s="282"/>
    </row>
    <row r="753">
      <c r="D753" s="282"/>
    </row>
    <row r="754">
      <c r="D754" s="282"/>
    </row>
    <row r="755">
      <c r="D755" s="282"/>
    </row>
    <row r="756">
      <c r="D756" s="282"/>
    </row>
    <row r="757">
      <c r="D757" s="282"/>
    </row>
    <row r="758">
      <c r="D758" s="282"/>
    </row>
    <row r="759">
      <c r="D759" s="282"/>
    </row>
    <row r="760">
      <c r="D760" s="282"/>
    </row>
    <row r="761">
      <c r="D761" s="282"/>
    </row>
    <row r="762">
      <c r="D762" s="282"/>
    </row>
    <row r="763">
      <c r="D763" s="282"/>
    </row>
    <row r="764">
      <c r="D764" s="282"/>
    </row>
    <row r="765">
      <c r="D765" s="282"/>
    </row>
    <row r="766">
      <c r="D766" s="282"/>
    </row>
    <row r="767">
      <c r="D767" s="282"/>
    </row>
    <row r="768">
      <c r="D768" s="282"/>
    </row>
    <row r="769">
      <c r="D769" s="282"/>
    </row>
    <row r="770">
      <c r="D770" s="282"/>
    </row>
    <row r="771">
      <c r="D771" s="282"/>
    </row>
    <row r="772">
      <c r="D772" s="282"/>
    </row>
    <row r="773">
      <c r="D773" s="282"/>
    </row>
    <row r="774">
      <c r="D774" s="282"/>
    </row>
    <row r="775">
      <c r="D775" s="282"/>
    </row>
    <row r="776">
      <c r="D776" s="282"/>
    </row>
    <row r="777">
      <c r="D777" s="282"/>
    </row>
    <row r="778">
      <c r="D778" s="282"/>
    </row>
    <row r="779">
      <c r="D779" s="282"/>
    </row>
    <row r="780">
      <c r="D780" s="282"/>
    </row>
    <row r="781">
      <c r="D781" s="282"/>
    </row>
    <row r="782">
      <c r="D782" s="282"/>
    </row>
    <row r="783">
      <c r="D783" s="282"/>
    </row>
    <row r="784">
      <c r="D784" s="282"/>
    </row>
    <row r="785">
      <c r="D785" s="282"/>
    </row>
    <row r="786">
      <c r="D786" s="282"/>
    </row>
    <row r="787">
      <c r="D787" s="282"/>
    </row>
    <row r="788">
      <c r="D788" s="282"/>
    </row>
    <row r="789">
      <c r="D789" s="282"/>
    </row>
    <row r="790">
      <c r="D790" s="282"/>
    </row>
    <row r="791">
      <c r="D791" s="282"/>
    </row>
    <row r="792">
      <c r="D792" s="282"/>
    </row>
    <row r="793">
      <c r="D793" s="282"/>
    </row>
    <row r="794">
      <c r="D794" s="282"/>
    </row>
    <row r="795">
      <c r="D795" s="282"/>
    </row>
    <row r="796">
      <c r="D796" s="282"/>
    </row>
    <row r="797">
      <c r="D797" s="282"/>
    </row>
    <row r="798">
      <c r="D798" s="282"/>
    </row>
    <row r="799">
      <c r="D799" s="282"/>
    </row>
    <row r="800">
      <c r="D800" s="282"/>
    </row>
    <row r="801">
      <c r="D801" s="282"/>
    </row>
    <row r="802">
      <c r="D802" s="282"/>
    </row>
    <row r="803">
      <c r="D803" s="282"/>
    </row>
    <row r="804">
      <c r="D804" s="282"/>
    </row>
    <row r="805">
      <c r="D805" s="282"/>
    </row>
    <row r="806">
      <c r="D806" s="282"/>
    </row>
    <row r="807">
      <c r="D807" s="282"/>
    </row>
    <row r="808">
      <c r="D808" s="282"/>
    </row>
    <row r="809">
      <c r="D809" s="282"/>
    </row>
    <row r="810">
      <c r="D810" s="282"/>
    </row>
    <row r="811">
      <c r="D811" s="282"/>
    </row>
    <row r="812">
      <c r="D812" s="282"/>
    </row>
    <row r="813">
      <c r="D813" s="282"/>
    </row>
    <row r="814">
      <c r="D814" s="282"/>
    </row>
    <row r="815">
      <c r="D815" s="282"/>
    </row>
    <row r="816">
      <c r="D816" s="282"/>
    </row>
    <row r="817">
      <c r="D817" s="282"/>
    </row>
    <row r="818">
      <c r="D818" s="282"/>
    </row>
    <row r="819">
      <c r="D819" s="282"/>
    </row>
    <row r="820">
      <c r="D820" s="282"/>
    </row>
    <row r="821">
      <c r="D821" s="282"/>
    </row>
    <row r="822">
      <c r="D822" s="282"/>
    </row>
    <row r="823">
      <c r="D823" s="282"/>
    </row>
    <row r="824">
      <c r="D824" s="282"/>
    </row>
    <row r="825">
      <c r="D825" s="282"/>
    </row>
    <row r="826">
      <c r="D826" s="282"/>
    </row>
    <row r="827">
      <c r="D827" s="282"/>
    </row>
    <row r="828">
      <c r="D828" s="282"/>
    </row>
    <row r="829">
      <c r="D829" s="282"/>
    </row>
    <row r="830">
      <c r="D830" s="282"/>
    </row>
    <row r="831">
      <c r="D831" s="282"/>
    </row>
    <row r="832">
      <c r="D832" s="282"/>
    </row>
    <row r="833">
      <c r="D833" s="282"/>
    </row>
    <row r="834">
      <c r="D834" s="282"/>
    </row>
    <row r="835">
      <c r="D835" s="282"/>
    </row>
    <row r="836">
      <c r="D836" s="282"/>
    </row>
    <row r="837">
      <c r="D837" s="282"/>
    </row>
    <row r="838">
      <c r="D838" s="282"/>
    </row>
    <row r="839">
      <c r="D839" s="282"/>
    </row>
    <row r="840">
      <c r="D840" s="282"/>
    </row>
    <row r="841">
      <c r="D841" s="282"/>
    </row>
    <row r="842">
      <c r="D842" s="282"/>
    </row>
    <row r="843">
      <c r="D843" s="282"/>
    </row>
    <row r="844">
      <c r="D844" s="282"/>
    </row>
    <row r="845">
      <c r="D845" s="282"/>
    </row>
    <row r="846">
      <c r="D846" s="282"/>
    </row>
    <row r="847">
      <c r="D847" s="282"/>
    </row>
    <row r="848">
      <c r="D848" s="282"/>
    </row>
    <row r="849">
      <c r="D849" s="282"/>
    </row>
    <row r="850">
      <c r="D850" s="282"/>
    </row>
    <row r="851">
      <c r="D851" s="282"/>
    </row>
    <row r="852">
      <c r="D852" s="282"/>
    </row>
    <row r="853">
      <c r="D853" s="282"/>
    </row>
    <row r="854">
      <c r="D854" s="282"/>
    </row>
    <row r="855">
      <c r="D855" s="282"/>
    </row>
    <row r="856">
      <c r="D856" s="282"/>
    </row>
    <row r="857">
      <c r="D857" s="282"/>
    </row>
    <row r="858">
      <c r="D858" s="282"/>
    </row>
    <row r="859">
      <c r="D859" s="282"/>
    </row>
    <row r="860">
      <c r="D860" s="282"/>
    </row>
    <row r="861">
      <c r="D861" s="282"/>
    </row>
    <row r="862">
      <c r="D862" s="282"/>
    </row>
    <row r="863">
      <c r="D863" s="282"/>
    </row>
    <row r="864">
      <c r="D864" s="282"/>
    </row>
    <row r="865">
      <c r="D865" s="282"/>
    </row>
    <row r="866">
      <c r="D866" s="282"/>
    </row>
    <row r="867">
      <c r="D867" s="282"/>
    </row>
    <row r="868">
      <c r="D868" s="282"/>
    </row>
    <row r="869">
      <c r="D869" s="282"/>
    </row>
    <row r="870">
      <c r="D870" s="282"/>
    </row>
    <row r="871">
      <c r="D871" s="282"/>
    </row>
    <row r="872">
      <c r="D872" s="282"/>
    </row>
    <row r="873">
      <c r="D873" s="282"/>
    </row>
    <row r="874">
      <c r="D874" s="282"/>
    </row>
    <row r="875">
      <c r="D875" s="282"/>
    </row>
    <row r="876">
      <c r="D876" s="282"/>
    </row>
    <row r="877">
      <c r="D877" s="282"/>
    </row>
    <row r="878">
      <c r="D878" s="282"/>
    </row>
    <row r="879">
      <c r="D879" s="282"/>
    </row>
    <row r="880">
      <c r="D880" s="282"/>
    </row>
    <row r="881">
      <c r="D881" s="282"/>
    </row>
    <row r="882">
      <c r="D882" s="282"/>
    </row>
    <row r="883">
      <c r="D883" s="282"/>
    </row>
    <row r="884">
      <c r="D884" s="282"/>
    </row>
    <row r="885">
      <c r="D885" s="282"/>
    </row>
    <row r="886">
      <c r="D886" s="282"/>
    </row>
    <row r="887">
      <c r="D887" s="282"/>
    </row>
    <row r="888">
      <c r="D888" s="282"/>
    </row>
    <row r="889">
      <c r="D889" s="282"/>
    </row>
    <row r="890">
      <c r="D890" s="282"/>
    </row>
    <row r="891">
      <c r="D891" s="282"/>
    </row>
    <row r="892">
      <c r="D892" s="282"/>
    </row>
    <row r="893">
      <c r="D893" s="282"/>
    </row>
    <row r="894">
      <c r="D894" s="282"/>
    </row>
    <row r="895">
      <c r="D895" s="282"/>
    </row>
    <row r="896">
      <c r="D896" s="282"/>
    </row>
    <row r="897">
      <c r="D897" s="282"/>
    </row>
    <row r="898">
      <c r="D898" s="282"/>
    </row>
    <row r="899">
      <c r="D899" s="282"/>
    </row>
    <row r="900">
      <c r="D900" s="282"/>
    </row>
    <row r="901">
      <c r="D901" s="282"/>
    </row>
    <row r="902">
      <c r="D902" s="282"/>
    </row>
    <row r="903">
      <c r="D903" s="282"/>
    </row>
    <row r="904">
      <c r="D904" s="282"/>
    </row>
    <row r="905">
      <c r="D905" s="282"/>
    </row>
    <row r="906">
      <c r="D906" s="282"/>
    </row>
    <row r="907">
      <c r="D907" s="282"/>
    </row>
    <row r="908">
      <c r="D908" s="282"/>
    </row>
    <row r="909">
      <c r="D909" s="282"/>
    </row>
    <row r="910">
      <c r="D910" s="282"/>
    </row>
    <row r="911">
      <c r="D911" s="282"/>
    </row>
    <row r="912">
      <c r="D912" s="282"/>
    </row>
    <row r="913">
      <c r="D913" s="282"/>
    </row>
    <row r="914">
      <c r="D914" s="282"/>
    </row>
    <row r="915">
      <c r="D915" s="282"/>
    </row>
    <row r="916">
      <c r="D916" s="282"/>
    </row>
    <row r="917">
      <c r="D917" s="282"/>
    </row>
    <row r="918">
      <c r="D918" s="282"/>
    </row>
    <row r="919">
      <c r="D919" s="282"/>
    </row>
    <row r="920">
      <c r="D920" s="282"/>
    </row>
    <row r="921">
      <c r="D921" s="282"/>
    </row>
    <row r="922">
      <c r="D922" s="282"/>
    </row>
    <row r="923">
      <c r="D923" s="282"/>
    </row>
    <row r="924">
      <c r="D924" s="282"/>
    </row>
    <row r="925">
      <c r="D925" s="282"/>
    </row>
    <row r="926">
      <c r="D926" s="282"/>
    </row>
    <row r="927">
      <c r="D927" s="282"/>
    </row>
    <row r="928">
      <c r="D928" s="282"/>
    </row>
    <row r="929">
      <c r="D929" s="282"/>
    </row>
    <row r="930">
      <c r="D930" s="282"/>
    </row>
    <row r="931">
      <c r="D931" s="282"/>
    </row>
    <row r="932">
      <c r="D932" s="282"/>
    </row>
    <row r="933">
      <c r="D933" s="282"/>
    </row>
    <row r="934">
      <c r="D934" s="282"/>
    </row>
    <row r="935">
      <c r="D935" s="282"/>
    </row>
    <row r="936">
      <c r="D936" s="282"/>
    </row>
    <row r="937">
      <c r="D937" s="282"/>
    </row>
    <row r="938">
      <c r="D938" s="282"/>
    </row>
    <row r="939">
      <c r="D939" s="282"/>
    </row>
    <row r="940">
      <c r="D940" s="282"/>
    </row>
  </sheetData>
  <mergeCells count="39">
    <mergeCell ref="E4:F5"/>
    <mergeCell ref="G4:G5"/>
    <mergeCell ref="B8:D8"/>
    <mergeCell ref="B12:J12"/>
    <mergeCell ref="D13:G13"/>
    <mergeCell ref="D14:G14"/>
    <mergeCell ref="A15:A16"/>
    <mergeCell ref="G26:G27"/>
    <mergeCell ref="H26:H27"/>
    <mergeCell ref="I26:I27"/>
    <mergeCell ref="J26:J27"/>
    <mergeCell ref="B15:B16"/>
    <mergeCell ref="C15:C16"/>
    <mergeCell ref="B19:D19"/>
    <mergeCell ref="B23:J23"/>
    <mergeCell ref="D24:G24"/>
    <mergeCell ref="D25:G25"/>
    <mergeCell ref="A26:A27"/>
    <mergeCell ref="H4:H5"/>
    <mergeCell ref="I4:I5"/>
    <mergeCell ref="B1:J1"/>
    <mergeCell ref="D2:G2"/>
    <mergeCell ref="D3:G3"/>
    <mergeCell ref="A4:A5"/>
    <mergeCell ref="B4:B5"/>
    <mergeCell ref="C4:C5"/>
    <mergeCell ref="D4:D5"/>
    <mergeCell ref="J4:J5"/>
    <mergeCell ref="D15:D16"/>
    <mergeCell ref="E15:F16"/>
    <mergeCell ref="G15:G16"/>
    <mergeCell ref="H15:H16"/>
    <mergeCell ref="I15:I16"/>
    <mergeCell ref="J15:J16"/>
    <mergeCell ref="B26:B27"/>
    <mergeCell ref="C26:C27"/>
    <mergeCell ref="B30:D30"/>
    <mergeCell ref="D26:D27"/>
    <mergeCell ref="E26:F27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75"/>
  <cols>
    <col customWidth="1" min="1" max="2" width="3.86"/>
    <col customWidth="1" min="3" max="3" width="28.43"/>
    <col customWidth="1" min="4" max="4" width="11.71"/>
    <col customWidth="1" min="5" max="5" width="6.29"/>
    <col customWidth="1" min="6" max="6" width="27.57"/>
    <col customWidth="1" hidden="1" min="7" max="7" width="24.29"/>
    <col customWidth="1" min="8" max="8" width="23.71"/>
  </cols>
  <sheetData>
    <row r="1">
      <c r="A1" s="315" t="s">
        <v>380</v>
      </c>
      <c r="H1" s="44" t="s">
        <v>338</v>
      </c>
    </row>
    <row r="2" ht="39.0" customHeight="1">
      <c r="A2" s="316" t="s">
        <v>381</v>
      </c>
      <c r="B2" s="56"/>
      <c r="C2" s="57"/>
      <c r="D2" s="317" t="str">
        <f>'Пр.взв'!C2</f>
        <v>Первенство России среди юношей и девушек 16-18 лет (отбор на первенство мира и Европы) ЕКП № 1803</v>
      </c>
      <c r="E2" s="56"/>
      <c r="F2" s="56"/>
      <c r="G2" s="56"/>
      <c r="H2" s="59"/>
    </row>
    <row r="3">
      <c r="A3" s="318" t="str">
        <f>'Пр.взв'!C3</f>
        <v>30.01 - 04.02.2022 г.                                                                                        г.Кстово</v>
      </c>
      <c r="B3" s="174"/>
      <c r="C3" s="174"/>
      <c r="D3" s="174"/>
      <c r="E3" s="174"/>
      <c r="F3" s="174"/>
      <c r="G3" s="171"/>
      <c r="H3" s="319" t="str">
        <f>'Пр.взв'!G4</f>
        <v>В.к.  71  кг</v>
      </c>
    </row>
    <row r="4" ht="12.0" customHeight="1">
      <c r="A4" s="320" t="s">
        <v>343</v>
      </c>
      <c r="B4" s="321" t="s">
        <v>9</v>
      </c>
      <c r="C4" s="322" t="s">
        <v>10</v>
      </c>
      <c r="D4" s="323" t="s">
        <v>11</v>
      </c>
      <c r="E4" s="324" t="s">
        <v>13</v>
      </c>
      <c r="F4" s="325"/>
      <c r="G4" s="326" t="s">
        <v>15</v>
      </c>
      <c r="H4" s="322" t="s">
        <v>16</v>
      </c>
    </row>
    <row r="5" ht="11.25" customHeight="1">
      <c r="A5" s="113"/>
      <c r="B5" s="113"/>
      <c r="C5" s="113"/>
      <c r="D5" s="113"/>
      <c r="E5" s="183"/>
      <c r="F5" s="171"/>
      <c r="G5" s="113"/>
      <c r="H5" s="113"/>
    </row>
    <row r="6">
      <c r="A6" s="327">
        <v>1.0</v>
      </c>
      <c r="B6" s="328" t="str">
        <f t="array" ref="B6">INDEX('Пр.хода'!$B$6:'Пр.хода'!$B$148,MATCH("1",'Пр.хода'!$AE$6:'Пр.хода'!$AE$148,0),MATCH("№ п/ж",'Пр.хода'!$B$4:'Пр.хода'!$D$4,0))</f>
        <v>#N/A</v>
      </c>
      <c r="C6" s="329" t="str">
        <f>VLOOKUP($B6,'Пр.взв'!$D$6:$J$76,3,0)</f>
        <v>#N/A</v>
      </c>
      <c r="D6" s="330" t="str">
        <f>VLOOKUP($B6,'Пр.взв'!$D$6:$J$76,4,0)</f>
        <v>#N/A</v>
      </c>
      <c r="E6" s="330" t="str">
        <f>VLOOKUP($B6,'Пр.взв'!$D$6:$J$76,6,0)</f>
        <v>#N/A</v>
      </c>
      <c r="F6" s="331" t="str">
        <f>VLOOKUP($B6,'Пр.взв'!$D$6:$J$76,7,0)</f>
        <v>#N/A</v>
      </c>
      <c r="G6" s="331" t="str">
        <f>VLOOKUP($B6,'Пр.взв'!$D$6:$M$76,8,0)</f>
        <v>#N/A</v>
      </c>
      <c r="H6" s="331" t="str">
        <f>VLOOKUP($B6,'Пр.взв'!$D$6:$M$76,10,0)</f>
        <v>#N/A</v>
      </c>
    </row>
    <row r="7">
      <c r="A7" s="327">
        <v>2.0</v>
      </c>
      <c r="B7" s="328" t="str">
        <f t="array" ref="B7">INDEX('Пр.хода'!$B$6:'Пр.хода'!$B$148,MATCH("2",'Пр.хода'!$AE$6:'Пр.хода'!$AE$148,0),MATCH("№ п/ж",'Пр.хода'!$B$4:'Пр.хода'!$D$4,0))</f>
        <v>#N/A</v>
      </c>
      <c r="C7" s="329" t="str">
        <f>VLOOKUP($B7,'Пр.взв'!$D$6:$J$76,3,0)</f>
        <v>#N/A</v>
      </c>
      <c r="D7" s="330" t="str">
        <f>VLOOKUP($B7,'Пр.взв'!$D$6:$J$76,4,0)</f>
        <v>#N/A</v>
      </c>
      <c r="E7" s="330" t="str">
        <f>VLOOKUP($B7,'Пр.взв'!$D$6:$J$76,6,0)</f>
        <v>#N/A</v>
      </c>
      <c r="F7" s="331" t="str">
        <f>VLOOKUP($B7,'Пр.взв'!$D$6:$J$76,7,0)</f>
        <v>#N/A</v>
      </c>
      <c r="G7" s="331" t="str">
        <f>VLOOKUP($B7,'Пр.взв'!$D$6:$M$76,8,0)</f>
        <v>#N/A</v>
      </c>
      <c r="H7" s="332" t="str">
        <f>VLOOKUP($B7,'Пр.взв'!$D$6:$M$76,10,0)</f>
        <v>#N/A</v>
      </c>
    </row>
    <row r="8">
      <c r="A8" s="327">
        <v>3.0</v>
      </c>
      <c r="B8" s="328" t="str">
        <f t="array" ref="B8">INDEX('Пр.хода'!$B$6:'Пр.хода'!$B$148,MATCH("3",'Пр.хода'!$AE$6:'Пр.хода'!$AE$148,0),MATCH("№ п/ж",'Пр.хода'!$B$4:'Пр.хода'!$D$4,0))</f>
        <v>#N/A</v>
      </c>
      <c r="C8" s="329" t="str">
        <f>VLOOKUP($B8,'Пр.взв'!$D$6:$J$76,3,0)</f>
        <v>#N/A</v>
      </c>
      <c r="D8" s="330" t="str">
        <f>VLOOKUP($B8,'Пр.взв'!$D$6:$J$76,4,0)</f>
        <v>#N/A</v>
      </c>
      <c r="E8" s="330" t="str">
        <f>VLOOKUP($B8,'Пр.взв'!$D$6:$J$76,6,0)</f>
        <v>#N/A</v>
      </c>
      <c r="F8" s="331" t="str">
        <f>VLOOKUP($B8,'Пр.взв'!$D$6:$J$76,7,0)</f>
        <v>#N/A</v>
      </c>
      <c r="G8" s="333" t="str">
        <f>VLOOKUP($B8,'Пр.взв'!$D$6:$M$76,8,0)</f>
        <v>#N/A</v>
      </c>
      <c r="H8" s="334" t="str">
        <f>VLOOKUP($B8,'Пр.взв'!$D$6:$M$76,10,0)</f>
        <v>#N/A</v>
      </c>
    </row>
    <row r="9">
      <c r="A9" s="327">
        <v>3.0</v>
      </c>
      <c r="B9" s="328" t="str">
        <f t="array" ref="B9">INDEX('Пр.хода'!$B$6:'Пр.хода'!$B$148,MATCH("4",'Пр.хода'!$AE$6:'Пр.хода'!$AE$148,0),MATCH("№ п/ж",'Пр.хода'!$B$4:'Пр.хода'!$D$4,0))</f>
        <v>#N/A</v>
      </c>
      <c r="C9" s="329" t="str">
        <f>VLOOKUP($B9,'Пр.взв'!$D$6:$J$76,3,0)</f>
        <v>#N/A</v>
      </c>
      <c r="D9" s="330" t="str">
        <f>VLOOKUP($B9,'Пр.взв'!$D$6:$J$76,4,0)</f>
        <v>#N/A</v>
      </c>
      <c r="E9" s="330" t="str">
        <f>VLOOKUP($B9,'Пр.взв'!$D$6:$J$76,6,0)</f>
        <v>#N/A</v>
      </c>
      <c r="F9" s="331" t="str">
        <f>VLOOKUP($B9,'Пр.взв'!$D$6:$J$76,7,0)</f>
        <v>#N/A</v>
      </c>
      <c r="G9" s="331" t="str">
        <f>VLOOKUP($B9,'Пр.взв'!$D$6:$M$76,8,0)</f>
        <v>#N/A</v>
      </c>
      <c r="H9" s="331" t="str">
        <f>VLOOKUP($B9,'Пр.взв'!$D$6:$M$76,10,0)</f>
        <v>#N/A</v>
      </c>
    </row>
    <row r="10">
      <c r="A10" s="335">
        <v>5.0</v>
      </c>
      <c r="B10" s="328" t="str">
        <f t="array" ref="B10">INDEX('Пр.хода'!$B$6:'Пр.хода'!$B$148,MATCH("5",'Пр.хода'!$AE$6:'Пр.хода'!$AE$148,0),MATCH("№ п/ж",'Пр.хода'!$B$4:'Пр.хода'!$D$4,0))</f>
        <v>#N/A</v>
      </c>
      <c r="C10" s="329" t="str">
        <f>VLOOKUP($B10,'Пр.взв'!$D$6:$J$76,3,0)</f>
        <v>#N/A</v>
      </c>
      <c r="D10" s="330" t="str">
        <f>VLOOKUP($B10,'Пр.взв'!$D$6:$J$76,4,0)</f>
        <v>#N/A</v>
      </c>
      <c r="E10" s="330" t="str">
        <f>VLOOKUP($B10,'Пр.взв'!$D$6:$J$76,6,0)</f>
        <v>#N/A</v>
      </c>
      <c r="F10" s="331" t="str">
        <f>VLOOKUP($B10,'Пр.взв'!$D$6:$J$76,7,0)</f>
        <v>#N/A</v>
      </c>
      <c r="G10" s="331" t="str">
        <f>VLOOKUP($B10,'Пр.взв'!$D$6:$M$76,8,0)</f>
        <v>#N/A</v>
      </c>
      <c r="H10" s="331" t="str">
        <f>VLOOKUP($B10,'Пр.взв'!$D$6:$M$76,10,0)</f>
        <v>#N/A</v>
      </c>
    </row>
    <row r="11">
      <c r="A11" s="335">
        <v>6.0</v>
      </c>
      <c r="B11" s="328" t="str">
        <f t="array" ref="B11">INDEX('Пр.хода'!$B$6:'Пр.хода'!$B$148,MATCH("6",'Пр.хода'!$AE$6:'Пр.хода'!$AE$148,0),MATCH("№ п/ж",'Пр.хода'!$B$4:'Пр.хода'!$D$4,0))</f>
        <v>#N/A</v>
      </c>
      <c r="C11" s="329" t="str">
        <f>VLOOKUP($B11,'Пр.взв'!$D$6:$J$76,3,0)</f>
        <v>#N/A</v>
      </c>
      <c r="D11" s="330" t="str">
        <f>VLOOKUP($B11,'Пр.взв'!$D$6:$J$76,4,0)</f>
        <v>#N/A</v>
      </c>
      <c r="E11" s="330" t="str">
        <f>VLOOKUP($B11,'Пр.взв'!$D$6:$J$76,6,0)</f>
        <v>#N/A</v>
      </c>
      <c r="F11" s="331" t="str">
        <f>VLOOKUP($B11,'Пр.взв'!$D$6:$J$76,7,0)</f>
        <v>#N/A</v>
      </c>
      <c r="G11" s="331" t="str">
        <f>VLOOKUP($B11,'Пр.взв'!$D$6:$M$76,8,0)</f>
        <v>#N/A</v>
      </c>
      <c r="H11" s="331" t="str">
        <f>VLOOKUP($B11,'Пр.взв'!$D$6:$M$76,10,0)</f>
        <v>#N/A</v>
      </c>
    </row>
    <row r="12">
      <c r="A12" s="335">
        <v>7.0</v>
      </c>
      <c r="B12" s="328" t="str">
        <f t="array" ref="B12">INDEX('Пр.хода'!$B$6:'Пр.хода'!$B$148,MATCH("7",'Пр.хода'!$AE$6:'Пр.хода'!$AE$148,0),MATCH("№ п/ж",'Пр.хода'!$B$4:'Пр.хода'!$D$4,0))</f>
        <v>#N/A</v>
      </c>
      <c r="C12" s="329" t="str">
        <f>VLOOKUP($B12,'Пр.взв'!$D$6:$J$76,3,0)</f>
        <v>#N/A</v>
      </c>
      <c r="D12" s="330" t="str">
        <f>VLOOKUP($B12,'Пр.взв'!$D$6:$J$76,4,0)</f>
        <v>#N/A</v>
      </c>
      <c r="E12" s="330" t="str">
        <f>VLOOKUP($B12,'Пр.взв'!$D$6:$J$76,6,0)</f>
        <v>#N/A</v>
      </c>
      <c r="F12" s="331" t="str">
        <f>VLOOKUP($B12,'Пр.взв'!$D$6:$J$76,7,0)</f>
        <v>#N/A</v>
      </c>
      <c r="G12" s="331" t="str">
        <f>VLOOKUP($B12,'Пр.взв'!$D$6:$M$76,8,0)</f>
        <v>#N/A</v>
      </c>
      <c r="H12" s="331" t="str">
        <f>VLOOKUP($B12,'Пр.взв'!$D$6:$M$76,10,0)</f>
        <v>#N/A</v>
      </c>
    </row>
    <row r="13">
      <c r="A13" s="335">
        <v>8.0</v>
      </c>
      <c r="B13" s="328" t="str">
        <f t="array" ref="B13">INDEX('Пр.хода'!$B$6:'Пр.хода'!$B$148,MATCH("8",'Пр.хода'!$AE$6:'Пр.хода'!$AE$148,0),MATCH("№ п/ж",'Пр.хода'!$B$4:'Пр.хода'!$D$4,0))</f>
        <v>#N/A</v>
      </c>
      <c r="C13" s="329" t="str">
        <f>VLOOKUP($B13,'Пр.взв'!$D$6:$J$76,3,0)</f>
        <v>#N/A</v>
      </c>
      <c r="D13" s="330" t="str">
        <f>VLOOKUP($B13,'Пр.взв'!$D$6:$J$76,4,0)</f>
        <v>#N/A</v>
      </c>
      <c r="E13" s="330" t="str">
        <f>VLOOKUP($B13,'Пр.взв'!$D$6:$J$76,6,0)</f>
        <v>#N/A</v>
      </c>
      <c r="F13" s="331" t="str">
        <f>VLOOKUP($B13,'Пр.взв'!$D$6:$J$76,7,0)</f>
        <v>#N/A</v>
      </c>
      <c r="G13" s="331" t="str">
        <f>VLOOKUP($B13,'Пр.взв'!$D$6:$M$76,8,0)</f>
        <v>#N/A</v>
      </c>
      <c r="H13" s="331" t="str">
        <f>VLOOKUP($B13,'Пр.взв'!$D$6:$M$76,10,0)</f>
        <v>#N/A</v>
      </c>
    </row>
    <row r="14">
      <c r="A14" s="335">
        <v>9.0</v>
      </c>
      <c r="B14" s="328" t="str">
        <f t="array" ref="B14">INDEX('Пр.хода'!$B$6:'Пр.хода'!$B$148,MATCH("9",'Пр.хода'!$AE$6:'Пр.хода'!$AE$148,0),MATCH("№ п/ж",'Пр.хода'!$B$4:'Пр.хода'!$D$4,0))</f>
        <v>#N/A</v>
      </c>
      <c r="C14" s="329" t="str">
        <f>VLOOKUP($B14,'Пр.взв'!$D$6:$J$76,3,0)</f>
        <v>#N/A</v>
      </c>
      <c r="D14" s="330" t="str">
        <f>VLOOKUP($B14,'Пр.взв'!$D$6:$J$76,4,0)</f>
        <v>#N/A</v>
      </c>
      <c r="E14" s="330" t="str">
        <f>VLOOKUP($B14,'Пр.взв'!$D$6:$J$76,6,0)</f>
        <v>#N/A</v>
      </c>
      <c r="F14" s="331" t="str">
        <f>VLOOKUP($B14,'Пр.взв'!$D$6:$J$76,7,0)</f>
        <v>#N/A</v>
      </c>
      <c r="G14" s="331" t="str">
        <f>VLOOKUP($B14,'Пр.взв'!$D$6:$M$76,8,0)</f>
        <v>#N/A</v>
      </c>
      <c r="H14" s="331" t="str">
        <f>VLOOKUP($B14,'Пр.взв'!$D$6:$M$76,10,0)</f>
        <v>#N/A</v>
      </c>
    </row>
    <row r="15">
      <c r="A15" s="335">
        <v>10.0</v>
      </c>
      <c r="B15" s="328" t="str">
        <f t="array" ref="B15">INDEX('Пр.хода'!$B$6:'Пр.хода'!$B$148,MATCH("10",'Пр.хода'!$AE$6:'Пр.хода'!$AE$148,0),MATCH("№ п/ж",'Пр.хода'!$B$4:'Пр.хода'!$D$4,0))</f>
        <v>#N/A</v>
      </c>
      <c r="C15" s="329" t="str">
        <f>VLOOKUP($B15,'Пр.взв'!$D$6:$J$76,3,0)</f>
        <v>#N/A</v>
      </c>
      <c r="D15" s="330" t="str">
        <f>VLOOKUP($B15,'Пр.взв'!$D$6:$J$76,4,0)</f>
        <v>#N/A</v>
      </c>
      <c r="E15" s="330" t="str">
        <f>VLOOKUP($B15,'Пр.взв'!$D$6:$J$76,6,0)</f>
        <v>#N/A</v>
      </c>
      <c r="F15" s="331" t="str">
        <f>VLOOKUP($B15,'Пр.взв'!$D$6:$J$76,7,0)</f>
        <v>#N/A</v>
      </c>
      <c r="G15" s="331" t="str">
        <f>VLOOKUP($B15,'Пр.взв'!$D$6:$M$76,8,0)</f>
        <v>#N/A</v>
      </c>
      <c r="H15" s="331" t="str">
        <f>VLOOKUP($B15,'Пр.взв'!$D$6:$M$76,10,0)</f>
        <v>#N/A</v>
      </c>
    </row>
    <row r="16">
      <c r="A16" s="335">
        <v>11.0</v>
      </c>
      <c r="B16" s="328" t="str">
        <f t="array" ref="B16">INDEX('Пр.хода'!$B$6:'Пр.хода'!$B$148,MATCH("11",'Пр.хода'!$AE$6:'Пр.хода'!$AE$148,0),MATCH("№ п/ж",'Пр.хода'!$B$4:'Пр.хода'!$D$4,0))</f>
        <v>#N/A</v>
      </c>
      <c r="C16" s="329" t="str">
        <f>VLOOKUP($B16,'Пр.взв'!$D$6:$J$76,3,0)</f>
        <v>#N/A</v>
      </c>
      <c r="D16" s="330" t="str">
        <f>VLOOKUP($B16,'Пр.взв'!$D$6:$J$76,4,0)</f>
        <v>#N/A</v>
      </c>
      <c r="E16" s="330" t="str">
        <f>VLOOKUP($B16,'Пр.взв'!$D$6:$J$76,6,0)</f>
        <v>#N/A</v>
      </c>
      <c r="F16" s="331" t="str">
        <f>VLOOKUP($B16,'Пр.взв'!$D$6:$J$76,7,0)</f>
        <v>#N/A</v>
      </c>
      <c r="G16" s="331" t="str">
        <f>VLOOKUP($B16,'Пр.взв'!$D$6:$M$76,8,0)</f>
        <v>#N/A</v>
      </c>
      <c r="H16" s="331" t="str">
        <f>VLOOKUP($B16,'Пр.взв'!$D$6:$M$76,10,0)</f>
        <v>#N/A</v>
      </c>
    </row>
    <row r="17">
      <c r="A17" s="335">
        <v>12.0</v>
      </c>
      <c r="B17" s="328" t="str">
        <f t="array" ref="B17">INDEX('Пр.хода'!$B$6:'Пр.хода'!$B$148,MATCH("12",'Пр.хода'!$AE$6:'Пр.хода'!$AE$148,0),MATCH("№ п/ж",'Пр.хода'!$B$4:'Пр.хода'!$D$4,0))</f>
        <v>#N/A</v>
      </c>
      <c r="C17" s="329" t="str">
        <f>VLOOKUP($B17,'Пр.взв'!$D$6:$J$76,3,0)</f>
        <v>#N/A</v>
      </c>
      <c r="D17" s="330" t="str">
        <f>VLOOKUP($B17,'Пр.взв'!$D$6:$J$76,4,0)</f>
        <v>#N/A</v>
      </c>
      <c r="E17" s="330" t="str">
        <f>VLOOKUP($B17,'Пр.взв'!$D$6:$J$76,6,0)</f>
        <v>#N/A</v>
      </c>
      <c r="F17" s="331" t="str">
        <f>VLOOKUP($B17,'Пр.взв'!$D$6:$J$76,7,0)</f>
        <v>#N/A</v>
      </c>
      <c r="G17" s="331" t="str">
        <f>VLOOKUP($B17,'Пр.взв'!$D$6:$M$76,8,0)</f>
        <v>#N/A</v>
      </c>
      <c r="H17" s="331" t="str">
        <f>VLOOKUP($B17,'Пр.взв'!$D$6:$M$76,10,0)</f>
        <v>#N/A</v>
      </c>
    </row>
    <row r="18">
      <c r="A18" s="335">
        <v>13.0</v>
      </c>
      <c r="B18" s="328" t="str">
        <f t="array" ref="B18">INDEX('Пр.хода'!$B$6:'Пр.хода'!$B$148,MATCH("13",'Пр.хода'!$AE$6:'Пр.хода'!$AE$148,0),MATCH("№ п/ж",'Пр.хода'!$B$4:'Пр.хода'!$D$4,0))</f>
        <v>#N/A</v>
      </c>
      <c r="C18" s="329" t="str">
        <f>VLOOKUP($B18,'Пр.взв'!$D$6:$J$76,3,0)</f>
        <v>#N/A</v>
      </c>
      <c r="D18" s="330" t="str">
        <f>VLOOKUP($B18,'Пр.взв'!$D$6:$J$76,4,0)</f>
        <v>#N/A</v>
      </c>
      <c r="E18" s="330" t="str">
        <f>VLOOKUP($B18,'Пр.взв'!$D$6:$J$76,6,0)</f>
        <v>#N/A</v>
      </c>
      <c r="F18" s="331" t="str">
        <f>VLOOKUP($B18,'Пр.взв'!$D$6:$J$76,7,0)</f>
        <v>#N/A</v>
      </c>
      <c r="G18" s="331" t="str">
        <f>VLOOKUP($B18,'Пр.взв'!$D$6:$M$76,8,0)</f>
        <v>#N/A</v>
      </c>
      <c r="H18" s="331" t="str">
        <f>VLOOKUP($B18,'Пр.взв'!$D$6:$M$76,10,0)</f>
        <v>#N/A</v>
      </c>
    </row>
    <row r="19">
      <c r="A19" s="335">
        <v>14.0</v>
      </c>
      <c r="B19" s="328" t="str">
        <f t="array" ref="B19">INDEX('Пр.хода'!$B$6:'Пр.хода'!$B$148,MATCH("14",'Пр.хода'!$AE$6:'Пр.хода'!$AE$148,0),MATCH("№ п/ж",'Пр.хода'!$B$4:'Пр.хода'!$D$4,0))</f>
        <v>#N/A</v>
      </c>
      <c r="C19" s="329" t="str">
        <f>VLOOKUP($B19,'Пр.взв'!$D$6:$J$76,3,0)</f>
        <v>#N/A</v>
      </c>
      <c r="D19" s="330" t="str">
        <f>VLOOKUP($B19,'Пр.взв'!$D$6:$J$76,4,0)</f>
        <v>#N/A</v>
      </c>
      <c r="E19" s="330" t="str">
        <f>VLOOKUP($B19,'Пр.взв'!$D$6:$J$76,6,0)</f>
        <v>#N/A</v>
      </c>
      <c r="F19" s="331" t="str">
        <f>VLOOKUP($B19,'Пр.взв'!$D$6:$J$76,7,0)</f>
        <v>#N/A</v>
      </c>
      <c r="G19" s="331" t="str">
        <f>VLOOKUP($B19,'Пр.взв'!$D$6:$M$76,8,0)</f>
        <v>#N/A</v>
      </c>
      <c r="H19" s="331" t="str">
        <f>VLOOKUP($B19,'Пр.взв'!$D$6:$M$76,10,0)</f>
        <v>#N/A</v>
      </c>
    </row>
    <row r="20">
      <c r="A20" s="335">
        <v>15.0</v>
      </c>
      <c r="B20" s="328" t="str">
        <f t="array" ref="B20">INDEX('Пр.хода'!$B$6:'Пр.хода'!$B$148,MATCH("15",'Пр.хода'!$AE$6:'Пр.хода'!$AE$148,0),MATCH("№ п/ж",'Пр.хода'!$B$4:'Пр.хода'!$D$4,0))</f>
        <v>#N/A</v>
      </c>
      <c r="C20" s="329" t="str">
        <f>VLOOKUP($B20,'Пр.взв'!$D$6:$J$76,3,0)</f>
        <v>#N/A</v>
      </c>
      <c r="D20" s="330" t="str">
        <f>VLOOKUP($B20,'Пр.взв'!$D$6:$J$76,4,0)</f>
        <v>#N/A</v>
      </c>
      <c r="E20" s="330" t="str">
        <f>VLOOKUP($B20,'Пр.взв'!$D$6:$J$76,6,0)</f>
        <v>#N/A</v>
      </c>
      <c r="F20" s="331" t="str">
        <f>VLOOKUP($B20,'Пр.взв'!$D$6:$J$76,7,0)</f>
        <v>#N/A</v>
      </c>
      <c r="G20" s="331" t="str">
        <f>VLOOKUP($B20,'Пр.взв'!$D$6:$M$76,8,0)</f>
        <v>#N/A</v>
      </c>
      <c r="H20" s="331" t="str">
        <f>VLOOKUP($B20,'Пр.взв'!$D$6:$M$76,10,0)</f>
        <v>#N/A</v>
      </c>
    </row>
    <row r="21">
      <c r="A21" s="335">
        <v>16.0</v>
      </c>
      <c r="B21" s="328" t="str">
        <f t="array" ref="B21">INDEX('Пр.хода'!$B$6:'Пр.хода'!$B$148,MATCH("16",'Пр.хода'!$AE$6:'Пр.хода'!$AE$148,0),MATCH("№ п/ж",'Пр.хода'!$B$4:'Пр.хода'!$D$4,0))</f>
        <v>#N/A</v>
      </c>
      <c r="C21" s="329" t="str">
        <f>VLOOKUP($B21,'Пр.взв'!$D$6:$J$76,3,0)</f>
        <v>#N/A</v>
      </c>
      <c r="D21" s="330" t="str">
        <f>VLOOKUP($B21,'Пр.взв'!$D$6:$J$76,4,0)</f>
        <v>#N/A</v>
      </c>
      <c r="E21" s="330" t="str">
        <f>VLOOKUP($B21,'Пр.взв'!$D$6:$J$76,6,0)</f>
        <v>#N/A</v>
      </c>
      <c r="F21" s="331" t="str">
        <f>VLOOKUP($B21,'Пр.взв'!$D$6:$J$76,7,0)</f>
        <v>#N/A</v>
      </c>
      <c r="G21" s="331" t="str">
        <f>VLOOKUP($B21,'Пр.взв'!$D$6:$M$76,8,0)</f>
        <v>#N/A</v>
      </c>
      <c r="H21" s="331" t="str">
        <f>VLOOKUP($B21,'Пр.взв'!$D$6:$M$76,10,0)</f>
        <v>#N/A</v>
      </c>
    </row>
    <row r="22">
      <c r="A22" s="335">
        <v>17.0</v>
      </c>
      <c r="B22" s="328" t="str">
        <f t="array" ref="B22">INDEX('Пр.хода'!$B$6:'Пр.хода'!$B$148,MATCH("17",'Пр.хода'!$AE$6:'Пр.хода'!$AE$148,0),MATCH("№ п/ж",'Пр.хода'!$B$4:'Пр.хода'!$D$4,0))</f>
        <v>#N/A</v>
      </c>
      <c r="C22" s="329" t="str">
        <f>VLOOKUP($B22,'Пр.взв'!$D$6:$J$76,3,0)</f>
        <v>#N/A</v>
      </c>
      <c r="D22" s="330" t="str">
        <f>VLOOKUP($B22,'Пр.взв'!$D$6:$J$76,4,0)</f>
        <v>#N/A</v>
      </c>
      <c r="E22" s="330" t="str">
        <f>VLOOKUP($B22,'Пр.взв'!$D$6:$J$76,6,0)</f>
        <v>#N/A</v>
      </c>
      <c r="F22" s="331" t="str">
        <f>VLOOKUP($B22,'Пр.взв'!$D$6:$J$76,7,0)</f>
        <v>#N/A</v>
      </c>
      <c r="G22" s="331" t="str">
        <f>VLOOKUP($B22,'Пр.взв'!$D$6:$M$76,8,0)</f>
        <v>#N/A</v>
      </c>
      <c r="H22" s="331" t="str">
        <f>VLOOKUP($B22,'Пр.взв'!$D$6:$M$76,10,0)</f>
        <v>#N/A</v>
      </c>
    </row>
    <row r="23">
      <c r="A23" s="335">
        <v>18.0</v>
      </c>
      <c r="B23" s="328" t="str">
        <f t="array" ref="B23">INDEX('Пр.хода'!$B$6:'Пр.хода'!$B$148,MATCH("18",'Пр.хода'!$AE$6:'Пр.хода'!$AE$148,0),MATCH("№ п/ж",'Пр.хода'!$B$4:'Пр.хода'!$D$4,0))</f>
        <v>#N/A</v>
      </c>
      <c r="C23" s="329" t="str">
        <f>VLOOKUP($B23,'Пр.взв'!$D$6:$J$76,3,0)</f>
        <v>#N/A</v>
      </c>
      <c r="D23" s="330" t="str">
        <f>VLOOKUP($B23,'Пр.взв'!$D$6:$J$76,4,0)</f>
        <v>#N/A</v>
      </c>
      <c r="E23" s="330" t="str">
        <f>VLOOKUP($B23,'Пр.взв'!$D$6:$J$76,6,0)</f>
        <v>#N/A</v>
      </c>
      <c r="F23" s="331" t="str">
        <f>VLOOKUP($B23,'Пр.взв'!$D$6:$J$76,7,0)</f>
        <v>#N/A</v>
      </c>
      <c r="G23" s="331" t="str">
        <f>VLOOKUP($B23,'Пр.взв'!$D$6:$M$76,8,0)</f>
        <v>#N/A</v>
      </c>
      <c r="H23" s="331" t="str">
        <f>VLOOKUP($B23,'Пр.взв'!$D$6:$M$76,10,0)</f>
        <v>#N/A</v>
      </c>
    </row>
    <row r="24">
      <c r="A24" s="335">
        <v>19.0</v>
      </c>
      <c r="B24" s="328" t="str">
        <f t="array" ref="B24">INDEX('Пр.хода'!$B$6:'Пр.хода'!$B$148,MATCH("19",'Пр.хода'!$AE$6:'Пр.хода'!$AE$148,0),MATCH("№ п/ж",'Пр.хода'!$B$4:'Пр.хода'!$D$4,0))</f>
        <v>#N/A</v>
      </c>
      <c r="C24" s="329" t="str">
        <f>VLOOKUP($B24,'Пр.взв'!$D$6:$J$76,3,0)</f>
        <v>#N/A</v>
      </c>
      <c r="D24" s="330" t="str">
        <f>VLOOKUP($B24,'Пр.взв'!$D$6:$J$76,4,0)</f>
        <v>#N/A</v>
      </c>
      <c r="E24" s="330" t="str">
        <f>VLOOKUP($B24,'Пр.взв'!$D$6:$J$76,6,0)</f>
        <v>#N/A</v>
      </c>
      <c r="F24" s="331" t="str">
        <f>VLOOKUP($B24,'Пр.взв'!$D$6:$J$76,7,0)</f>
        <v>#N/A</v>
      </c>
      <c r="G24" s="331" t="str">
        <f>VLOOKUP($B24,'Пр.взв'!$D$6:$M$76,8,0)</f>
        <v>#N/A</v>
      </c>
      <c r="H24" s="331" t="str">
        <f>VLOOKUP($B24,'Пр.взв'!$D$6:$M$76,10,0)</f>
        <v>#N/A</v>
      </c>
    </row>
    <row r="25">
      <c r="A25" s="335">
        <v>20.0</v>
      </c>
      <c r="B25" s="328" t="str">
        <f t="array" ref="B25">INDEX('Пр.хода'!$B$6:'Пр.хода'!$B$148,MATCH("20",'Пр.хода'!$AE$6:'Пр.хода'!$AE$148,0),MATCH("№ п/ж",'Пр.хода'!$B$4:'Пр.хода'!$D$4,0))</f>
        <v>#N/A</v>
      </c>
      <c r="C25" s="329" t="str">
        <f>VLOOKUP($B25,'Пр.взв'!$D$6:$J$76,3,0)</f>
        <v>#N/A</v>
      </c>
      <c r="D25" s="330" t="str">
        <f>VLOOKUP($B25,'Пр.взв'!$D$6:$J$76,4,0)</f>
        <v>#N/A</v>
      </c>
      <c r="E25" s="330" t="str">
        <f>VLOOKUP($B25,'Пр.взв'!$D$6:$J$76,6,0)</f>
        <v>#N/A</v>
      </c>
      <c r="F25" s="331" t="str">
        <f>VLOOKUP($B25,'Пр.взв'!$D$6:$J$76,7,0)</f>
        <v>#N/A</v>
      </c>
      <c r="G25" s="331" t="str">
        <f>VLOOKUP($B25,'Пр.взв'!$D$6:$M$76,8,0)</f>
        <v>#N/A</v>
      </c>
      <c r="H25" s="331" t="str">
        <f>VLOOKUP($B25,'Пр.взв'!$D$6:$M$76,10,0)</f>
        <v>#N/A</v>
      </c>
    </row>
    <row r="26">
      <c r="A26" s="335">
        <v>21.0</v>
      </c>
      <c r="B26" s="328" t="str">
        <f t="array" ref="B26">INDEX('Пр.хода'!$B$6:'Пр.хода'!$B$148,MATCH("21",'Пр.хода'!$AE$6:'Пр.хода'!$AE$148,0),MATCH("№ п/ж",'Пр.хода'!$B$4:'Пр.хода'!$D$4,0))</f>
        <v>#N/A</v>
      </c>
      <c r="C26" s="329" t="str">
        <f>VLOOKUP($B26,'Пр.взв'!$D$6:$J$76,3,0)</f>
        <v>#N/A</v>
      </c>
      <c r="D26" s="330" t="str">
        <f>VLOOKUP($B26,'Пр.взв'!$D$6:$J$76,4,0)</f>
        <v>#N/A</v>
      </c>
      <c r="E26" s="330" t="str">
        <f>VLOOKUP($B26,'Пр.взв'!$D$6:$J$76,6,0)</f>
        <v>#N/A</v>
      </c>
      <c r="F26" s="331" t="str">
        <f>VLOOKUP($B26,'Пр.взв'!$D$6:$J$76,7,0)</f>
        <v>#N/A</v>
      </c>
      <c r="G26" s="331" t="str">
        <f>VLOOKUP($B26,'Пр.взв'!$D$6:$M$76,8,0)</f>
        <v>#N/A</v>
      </c>
      <c r="H26" s="331" t="str">
        <f>VLOOKUP($B26,'Пр.взв'!$D$6:$M$76,10,0)</f>
        <v>#N/A</v>
      </c>
    </row>
    <row r="27">
      <c r="A27" s="335">
        <v>22.0</v>
      </c>
      <c r="B27" s="328" t="str">
        <f t="array" ref="B27">INDEX('Пр.хода'!$B$6:'Пр.хода'!$B$148,MATCH("22",'Пр.хода'!$AE$6:'Пр.хода'!$AE$148,0),MATCH("№ п/ж",'Пр.хода'!$B$4:'Пр.хода'!$D$4,0))</f>
        <v>#N/A</v>
      </c>
      <c r="C27" s="329" t="str">
        <f>VLOOKUP($B27,'Пр.взв'!$D$6:$J$76,3,0)</f>
        <v>#N/A</v>
      </c>
      <c r="D27" s="330" t="str">
        <f>VLOOKUP($B27,'Пр.взв'!$D$6:$J$76,4,0)</f>
        <v>#N/A</v>
      </c>
      <c r="E27" s="330" t="str">
        <f>VLOOKUP($B27,'Пр.взв'!$D$6:$J$76,6,0)</f>
        <v>#N/A</v>
      </c>
      <c r="F27" s="331" t="str">
        <f>VLOOKUP($B27,'Пр.взв'!$D$6:$J$76,7,0)</f>
        <v>#N/A</v>
      </c>
      <c r="G27" s="331" t="str">
        <f>VLOOKUP($B27,'Пр.взв'!$D$6:$M$76,8,0)</f>
        <v>#N/A</v>
      </c>
      <c r="H27" s="331" t="str">
        <f>VLOOKUP($B27,'Пр.взв'!$D$6:$M$76,10,0)</f>
        <v>#N/A</v>
      </c>
    </row>
    <row r="28">
      <c r="A28" s="335">
        <v>23.0</v>
      </c>
      <c r="B28" s="328" t="str">
        <f t="array" ref="B28">INDEX('Пр.хода'!$B$6:'Пр.хода'!$B$148,MATCH("23",'Пр.хода'!$AE$6:'Пр.хода'!$AE$148,0),MATCH("№ п/ж",'Пр.хода'!$B$4:'Пр.хода'!$D$4,0))</f>
        <v>#N/A</v>
      </c>
      <c r="C28" s="329" t="str">
        <f>VLOOKUP($B28,'Пр.взв'!$D$6:$J$76,3,0)</f>
        <v>#N/A</v>
      </c>
      <c r="D28" s="330" t="str">
        <f>VLOOKUP($B28,'Пр.взв'!$D$6:$J$76,4,0)</f>
        <v>#N/A</v>
      </c>
      <c r="E28" s="330" t="str">
        <f>VLOOKUP($B28,'Пр.взв'!$D$6:$J$76,6,0)</f>
        <v>#N/A</v>
      </c>
      <c r="F28" s="331" t="str">
        <f>VLOOKUP($B28,'Пр.взв'!$D$6:$J$76,7,0)</f>
        <v>#N/A</v>
      </c>
      <c r="G28" s="331" t="str">
        <f>VLOOKUP($B28,'Пр.взв'!$D$6:$M$76,8,0)</f>
        <v>#N/A</v>
      </c>
      <c r="H28" s="331" t="str">
        <f>VLOOKUP($B28,'Пр.взв'!$D$6:$M$76,10,0)</f>
        <v>#N/A</v>
      </c>
    </row>
    <row r="29">
      <c r="A29" s="335">
        <v>24.0</v>
      </c>
      <c r="B29" s="328" t="str">
        <f t="array" ref="B29">INDEX('Пр.хода'!$B$6:'Пр.хода'!$B$148,MATCH("24",'Пр.хода'!$AE$6:'Пр.хода'!$AE$148,0),MATCH("№ п/ж",'Пр.хода'!$B$4:'Пр.хода'!$D$4,0))</f>
        <v>#N/A</v>
      </c>
      <c r="C29" s="329" t="str">
        <f>VLOOKUP($B29,'Пр.взв'!$D$6:$J$76,3,0)</f>
        <v>#N/A</v>
      </c>
      <c r="D29" s="330" t="str">
        <f>VLOOKUP($B29,'Пр.взв'!$D$6:$J$76,4,0)</f>
        <v>#N/A</v>
      </c>
      <c r="E29" s="330" t="str">
        <f>VLOOKUP($B29,'Пр.взв'!$D$6:$J$76,6,0)</f>
        <v>#N/A</v>
      </c>
      <c r="F29" s="331" t="str">
        <f>VLOOKUP($B29,'Пр.взв'!$D$6:$J$76,7,0)</f>
        <v>#N/A</v>
      </c>
      <c r="G29" s="331" t="str">
        <f>VLOOKUP($B29,'Пр.взв'!$D$6:$M$76,8,0)</f>
        <v>#N/A</v>
      </c>
      <c r="H29" s="331" t="str">
        <f>VLOOKUP($B29,'Пр.взв'!$D$6:$M$76,10,0)</f>
        <v>#N/A</v>
      </c>
    </row>
    <row r="30">
      <c r="A30" s="335">
        <v>25.0</v>
      </c>
      <c r="B30" s="328" t="str">
        <f t="array" ref="B30">INDEX('Пр.хода'!$B$6:'Пр.хода'!$B$148,MATCH("25",'Пр.хода'!$AE$6:'Пр.хода'!$AE$148,0),MATCH("№ п/ж",'Пр.хода'!$B$4:'Пр.хода'!$D$4,0))</f>
        <v>#N/A</v>
      </c>
      <c r="C30" s="329" t="str">
        <f>VLOOKUP($B30,'Пр.взв'!$D$6:$J$76,3,0)</f>
        <v>#N/A</v>
      </c>
      <c r="D30" s="330" t="str">
        <f>VLOOKUP($B30,'Пр.взв'!$D$6:$J$76,4,0)</f>
        <v>#N/A</v>
      </c>
      <c r="E30" s="330" t="str">
        <f>VLOOKUP($B30,'Пр.взв'!$D$6:$J$76,6,0)</f>
        <v>#N/A</v>
      </c>
      <c r="F30" s="331" t="str">
        <f>VLOOKUP($B30,'Пр.взв'!$D$6:$J$76,7,0)</f>
        <v>#N/A</v>
      </c>
      <c r="G30" s="331" t="str">
        <f>VLOOKUP($B30,'Пр.взв'!$D$6:$M$76,8,0)</f>
        <v>#N/A</v>
      </c>
      <c r="H30" s="331" t="str">
        <f>VLOOKUP($B30,'Пр.взв'!$D$6:$M$76,10,0)</f>
        <v>#N/A</v>
      </c>
    </row>
    <row r="31">
      <c r="A31" s="335">
        <v>26.0</v>
      </c>
      <c r="B31" s="328" t="str">
        <f t="array" ref="B31">INDEX('Пр.хода'!$B$6:'Пр.хода'!$B$148,MATCH("26",'Пр.хода'!$AE$6:'Пр.хода'!$AE$148,0),MATCH("№ п/ж",'Пр.хода'!$B$4:'Пр.хода'!$D$4,0))</f>
        <v>#N/A</v>
      </c>
      <c r="C31" s="329" t="str">
        <f>VLOOKUP($B31,'Пр.взв'!$D$6:$J$76,3,0)</f>
        <v>#N/A</v>
      </c>
      <c r="D31" s="330" t="str">
        <f>VLOOKUP($B31,'Пр.взв'!$D$6:$J$76,4,0)</f>
        <v>#N/A</v>
      </c>
      <c r="E31" s="330" t="str">
        <f>VLOOKUP($B31,'Пр.взв'!$D$6:$J$76,6,0)</f>
        <v>#N/A</v>
      </c>
      <c r="F31" s="331" t="str">
        <f>VLOOKUP($B31,'Пр.взв'!$D$6:$J$76,7,0)</f>
        <v>#N/A</v>
      </c>
      <c r="G31" s="331" t="str">
        <f>VLOOKUP($B31,'Пр.взв'!$D$6:$M$76,8,0)</f>
        <v>#N/A</v>
      </c>
      <c r="H31" s="331" t="str">
        <f>VLOOKUP($B31,'Пр.взв'!$D$6:$M$76,10,0)</f>
        <v>#N/A</v>
      </c>
    </row>
    <row r="32">
      <c r="A32" s="335">
        <v>27.0</v>
      </c>
      <c r="B32" s="328" t="str">
        <f t="array" ref="B32">INDEX('Пр.хода'!$B$6:'Пр.хода'!$B$148,MATCH("27",'Пр.хода'!$AE$6:'Пр.хода'!$AE$148,0),MATCH("№ п/ж",'Пр.хода'!$B$4:'Пр.хода'!$D$4,0))</f>
        <v>#N/A</v>
      </c>
      <c r="C32" s="329" t="str">
        <f>VLOOKUP($B32,'Пр.взв'!$D$6:$J$76,3,0)</f>
        <v>#N/A</v>
      </c>
      <c r="D32" s="330" t="str">
        <f>VLOOKUP($B32,'Пр.взв'!$D$6:$J$76,4,0)</f>
        <v>#N/A</v>
      </c>
      <c r="E32" s="330" t="str">
        <f>VLOOKUP($B32,'Пр.взв'!$D$6:$J$76,6,0)</f>
        <v>#N/A</v>
      </c>
      <c r="F32" s="331" t="str">
        <f>VLOOKUP($B32,'Пр.взв'!$D$6:$J$76,7,0)</f>
        <v>#N/A</v>
      </c>
      <c r="G32" s="331" t="str">
        <f>VLOOKUP($B32,'Пр.взв'!$D$6:$M$76,8,0)</f>
        <v>#N/A</v>
      </c>
      <c r="H32" s="331" t="str">
        <f>VLOOKUP($B32,'Пр.взв'!$D$6:$M$76,10,0)</f>
        <v>#N/A</v>
      </c>
    </row>
    <row r="33">
      <c r="A33" s="335">
        <v>28.0</v>
      </c>
      <c r="B33" s="328" t="str">
        <f t="array" ref="B33">INDEX('Пр.хода'!$B$6:'Пр.хода'!$B$148,MATCH("28",'Пр.хода'!$AE$6:'Пр.хода'!$AE$148,0),MATCH("№ п/ж",'Пр.хода'!$B$4:'Пр.хода'!$D$4,0))</f>
        <v>#N/A</v>
      </c>
      <c r="C33" s="329" t="str">
        <f>VLOOKUP($B33,'Пр.взв'!$D$6:$J$76,3,0)</f>
        <v>#N/A</v>
      </c>
      <c r="D33" s="330" t="str">
        <f>VLOOKUP($B33,'Пр.взв'!$D$6:$J$76,4,0)</f>
        <v>#N/A</v>
      </c>
      <c r="E33" s="330" t="str">
        <f>VLOOKUP($B33,'Пр.взв'!$D$6:$J$76,6,0)</f>
        <v>#N/A</v>
      </c>
      <c r="F33" s="331" t="str">
        <f>VLOOKUP($B33,'Пр.взв'!$D$6:$J$76,7,0)</f>
        <v>#N/A</v>
      </c>
      <c r="G33" s="331" t="str">
        <f>VLOOKUP($B33,'Пр.взв'!$D$6:$M$76,8,0)</f>
        <v>#N/A</v>
      </c>
      <c r="H33" s="331" t="str">
        <f>VLOOKUP($B33,'Пр.взв'!$D$6:$M$76,10,0)</f>
        <v>#N/A</v>
      </c>
    </row>
    <row r="34">
      <c r="A34" s="335">
        <v>29.0</v>
      </c>
      <c r="B34" s="328" t="str">
        <f t="array" ref="B34">INDEX('Пр.хода'!$B$6:'Пр.хода'!$B$148,MATCH("29",'Пр.хода'!$AE$6:'Пр.хода'!$AE$148,0),MATCH("№ п/ж",'Пр.хода'!$B$4:'Пр.хода'!$D$4,0))</f>
        <v>#N/A</v>
      </c>
      <c r="C34" s="329" t="str">
        <f>VLOOKUP($B34,'Пр.взв'!$D$6:$J$76,3,0)</f>
        <v>#N/A</v>
      </c>
      <c r="D34" s="330" t="str">
        <f>VLOOKUP($B34,'Пр.взв'!$D$6:$J$76,4,0)</f>
        <v>#N/A</v>
      </c>
      <c r="E34" s="330" t="str">
        <f>VLOOKUP($B34,'Пр.взв'!$D$6:$J$76,6,0)</f>
        <v>#N/A</v>
      </c>
      <c r="F34" s="331" t="str">
        <f>VLOOKUP($B34,'Пр.взв'!$D$6:$J$76,7,0)</f>
        <v>#N/A</v>
      </c>
      <c r="G34" s="331" t="str">
        <f>VLOOKUP($B34,'Пр.взв'!$D$6:$M$76,8,0)</f>
        <v>#N/A</v>
      </c>
      <c r="H34" s="331" t="str">
        <f>VLOOKUP($B34,'Пр.взв'!$D$6:$M$76,10,0)</f>
        <v>#N/A</v>
      </c>
    </row>
    <row r="35">
      <c r="A35" s="335">
        <v>30.0</v>
      </c>
      <c r="B35" s="328" t="str">
        <f t="array" ref="B35">INDEX('Пр.хода'!$B$6:'Пр.хода'!$B$148,MATCH("30",'Пр.хода'!$AE$6:'Пр.хода'!$AE$148,0),MATCH("№ п/ж",'Пр.хода'!$B$4:'Пр.хода'!$D$4,0))</f>
        <v>#N/A</v>
      </c>
      <c r="C35" s="329" t="str">
        <f>VLOOKUP($B35,'Пр.взв'!$D$6:$J$76,3,0)</f>
        <v>#N/A</v>
      </c>
      <c r="D35" s="330" t="str">
        <f>VLOOKUP($B35,'Пр.взв'!$D$6:$J$76,4,0)</f>
        <v>#N/A</v>
      </c>
      <c r="E35" s="330" t="str">
        <f>VLOOKUP($B35,'Пр.взв'!$D$6:$J$76,6,0)</f>
        <v>#N/A</v>
      </c>
      <c r="F35" s="331" t="str">
        <f>VLOOKUP($B35,'Пр.взв'!$D$6:$J$76,7,0)</f>
        <v>#N/A</v>
      </c>
      <c r="G35" s="331" t="str">
        <f>VLOOKUP($B35,'Пр.взв'!$D$6:$M$76,8,0)</f>
        <v>#N/A</v>
      </c>
      <c r="H35" s="331" t="str">
        <f>VLOOKUP($B35,'Пр.взв'!$D$6:$M$76,10,0)</f>
        <v>#N/A</v>
      </c>
    </row>
    <row r="36">
      <c r="A36" s="335">
        <v>31.0</v>
      </c>
      <c r="B36" s="328" t="str">
        <f t="array" ref="B36">INDEX('Пр.хода'!$B$6:'Пр.хода'!$B$148,MATCH("31",'Пр.хода'!$AE$6:'Пр.хода'!$AE$148,0),MATCH("№ п/ж",'Пр.хода'!$B$4:'Пр.хода'!$D$4,0))</f>
        <v>#N/A</v>
      </c>
      <c r="C36" s="329" t="str">
        <f>VLOOKUP($B36,'Пр.взв'!$D$6:$J$76,3,0)</f>
        <v>#N/A</v>
      </c>
      <c r="D36" s="330" t="str">
        <f>VLOOKUP($B36,'Пр.взв'!$D$6:$J$76,4,0)</f>
        <v>#N/A</v>
      </c>
      <c r="E36" s="330" t="str">
        <f>VLOOKUP($B36,'Пр.взв'!$D$6:$J$76,6,0)</f>
        <v>#N/A</v>
      </c>
      <c r="F36" s="331" t="str">
        <f>VLOOKUP($B36,'Пр.взв'!$D$6:$J$76,7,0)</f>
        <v>#N/A</v>
      </c>
      <c r="G36" s="331" t="str">
        <f>VLOOKUP($B36,'Пр.взв'!$D$6:$M$76,8,0)</f>
        <v>#N/A</v>
      </c>
      <c r="H36" s="331" t="str">
        <f>VLOOKUP($B36,'Пр.взв'!$D$6:$M$76,10,0)</f>
        <v>#N/A</v>
      </c>
    </row>
    <row r="37">
      <c r="A37" s="335">
        <v>32.0</v>
      </c>
      <c r="B37" s="328" t="str">
        <f t="array" ref="B37">INDEX('Пр.хода'!$B$6:'Пр.хода'!$B$148,MATCH("32",'Пр.хода'!$AE$6:'Пр.хода'!$AE$148,0),MATCH("№ п/ж",'Пр.хода'!$B$4:'Пр.хода'!$D$4,0))</f>
        <v>#N/A</v>
      </c>
      <c r="C37" s="329" t="str">
        <f>VLOOKUP($B37,'Пр.взв'!$D$6:$J$76,3,0)</f>
        <v>#N/A</v>
      </c>
      <c r="D37" s="330" t="str">
        <f>VLOOKUP($B37,'Пр.взв'!$D$6:$J$76,4,0)</f>
        <v>#N/A</v>
      </c>
      <c r="E37" s="330" t="str">
        <f>VLOOKUP($B37,'Пр.взв'!$D$6:$J$76,6,0)</f>
        <v>#N/A</v>
      </c>
      <c r="F37" s="331" t="str">
        <f>VLOOKUP($B37,'Пр.взв'!$D$6:$J$76,7,0)</f>
        <v>#N/A</v>
      </c>
      <c r="G37" s="331" t="str">
        <f>VLOOKUP($B37,'Пр.взв'!$D$6:$M$76,8,0)</f>
        <v>#N/A</v>
      </c>
      <c r="H37" s="331" t="str">
        <f>VLOOKUP($B37,'Пр.взв'!$D$6:$M$76,10,0)</f>
        <v>#N/A</v>
      </c>
    </row>
    <row r="38">
      <c r="A38" s="335">
        <v>33.0</v>
      </c>
      <c r="B38" s="328" t="str">
        <f t="array" ref="B38">INDEX('Пр.хода'!$B$6:'Пр.хода'!$B$148,MATCH("33",'Пр.хода'!$AE$6:'Пр.хода'!$AE$148,0),MATCH("№ п/ж",'Пр.хода'!$B$4:'Пр.хода'!$D$4,0))</f>
        <v>#N/A</v>
      </c>
      <c r="C38" s="329" t="str">
        <f>VLOOKUP($B38,'Пр.взв'!$D$6:$J$76,3,0)</f>
        <v>#N/A</v>
      </c>
      <c r="D38" s="330" t="str">
        <f>VLOOKUP($B38,'Пр.взв'!$D$6:$J$76,4,0)</f>
        <v>#N/A</v>
      </c>
      <c r="E38" s="330" t="str">
        <f>VLOOKUP($B38,'Пр.взв'!$D$6:$J$76,6,0)</f>
        <v>#N/A</v>
      </c>
      <c r="F38" s="331" t="str">
        <f>VLOOKUP($B38,'Пр.взв'!$D$6:$J$76,7,0)</f>
        <v>#N/A</v>
      </c>
      <c r="G38" s="331" t="str">
        <f>VLOOKUP($B38,'Пр.взв'!$D$6:$M$76,8,0)</f>
        <v>#N/A</v>
      </c>
      <c r="H38" s="331" t="str">
        <f>VLOOKUP($B38,'Пр.взв'!$D$6:$M$76,10,0)</f>
        <v>#N/A</v>
      </c>
    </row>
    <row r="39">
      <c r="A39" s="335">
        <v>34.0</v>
      </c>
      <c r="B39" s="328" t="str">
        <f t="array" ref="B39">INDEX('Пр.хода'!$B$6:'Пр.хода'!$B$148,MATCH("34",'Пр.хода'!$AE$6:'Пр.хода'!$AE$148,0),MATCH("№ п/ж",'Пр.хода'!$B$4:'Пр.хода'!$D$4,0))</f>
        <v>#N/A</v>
      </c>
      <c r="C39" s="329" t="str">
        <f>VLOOKUP($B39,'Пр.взв'!$D$6:$J$76,3,0)</f>
        <v>#N/A</v>
      </c>
      <c r="D39" s="330" t="str">
        <f>VLOOKUP($B39,'Пр.взв'!$D$6:$J$76,4,0)</f>
        <v>#N/A</v>
      </c>
      <c r="E39" s="330" t="str">
        <f>VLOOKUP($B39,'Пр.взв'!$D$6:$J$76,6,0)</f>
        <v>#N/A</v>
      </c>
      <c r="F39" s="331" t="str">
        <f>VLOOKUP($B39,'Пр.взв'!$D$6:$J$76,7,0)</f>
        <v>#N/A</v>
      </c>
      <c r="G39" s="331" t="str">
        <f>VLOOKUP($B39,'Пр.взв'!$D$6:$M$76,8,0)</f>
        <v>#N/A</v>
      </c>
      <c r="H39" s="331" t="str">
        <f>VLOOKUP($B39,'Пр.взв'!$D$6:$M$76,10,0)</f>
        <v>#N/A</v>
      </c>
    </row>
    <row r="40">
      <c r="A40" s="335">
        <v>35.0</v>
      </c>
      <c r="B40" s="328" t="str">
        <f t="array" ref="B40">INDEX('Пр.хода'!$B$6:'Пр.хода'!$B$148,MATCH("35",'Пр.хода'!$AE$6:'Пр.хода'!$AE$148,0),MATCH("№ п/ж",'Пр.хода'!$B$4:'Пр.хода'!$D$4,0))</f>
        <v>#N/A</v>
      </c>
      <c r="C40" s="329" t="str">
        <f>VLOOKUP($B40,'Пр.взв'!$D$6:$J$76,3,0)</f>
        <v>#N/A</v>
      </c>
      <c r="D40" s="330" t="str">
        <f>VLOOKUP($B40,'Пр.взв'!$D$6:$J$76,4,0)</f>
        <v>#N/A</v>
      </c>
      <c r="E40" s="330" t="str">
        <f>VLOOKUP($B40,'Пр.взв'!$D$6:$J$76,6,0)</f>
        <v>#N/A</v>
      </c>
      <c r="F40" s="331" t="str">
        <f>VLOOKUP($B40,'Пр.взв'!$D$6:$J$76,7,0)</f>
        <v>#N/A</v>
      </c>
      <c r="G40" s="331" t="str">
        <f>VLOOKUP($B40,'Пр.взв'!$D$6:$M$76,8,0)</f>
        <v>#N/A</v>
      </c>
      <c r="H40" s="331" t="str">
        <f>VLOOKUP($B40,'Пр.взв'!$D$6:$M$76,10,0)</f>
        <v>#N/A</v>
      </c>
    </row>
    <row r="41">
      <c r="A41" s="335">
        <v>36.0</v>
      </c>
      <c r="B41" s="328" t="str">
        <f t="array" ref="B41">INDEX('Пр.хода'!$B$6:'Пр.хода'!$B$148,MATCH("36",'Пр.хода'!$AE$6:'Пр.хода'!$AE$148,0),MATCH("№ п/ж",'Пр.хода'!$B$4:'Пр.хода'!$D$4,0))</f>
        <v>#N/A</v>
      </c>
      <c r="C41" s="329" t="str">
        <f>VLOOKUP($B41,'Пр.взв'!$D$6:$J$76,3,0)</f>
        <v>#N/A</v>
      </c>
      <c r="D41" s="330" t="str">
        <f>VLOOKUP($B41,'Пр.взв'!$D$6:$J$76,4,0)</f>
        <v>#N/A</v>
      </c>
      <c r="E41" s="330" t="str">
        <f>VLOOKUP($B41,'Пр.взв'!$D$6:$J$76,6,0)</f>
        <v>#N/A</v>
      </c>
      <c r="F41" s="331" t="str">
        <f>VLOOKUP($B41,'Пр.взв'!$D$6:$J$76,7,0)</f>
        <v>#N/A</v>
      </c>
      <c r="G41" s="331" t="str">
        <f>VLOOKUP($B41,'Пр.взв'!$D$6:$M$76,8,0)</f>
        <v>#N/A</v>
      </c>
      <c r="H41" s="331" t="str">
        <f>VLOOKUP($B41,'Пр.взв'!$D$6:$M$76,10,0)</f>
        <v>#N/A</v>
      </c>
    </row>
    <row r="42">
      <c r="A42" s="335">
        <v>37.0</v>
      </c>
      <c r="B42" s="328" t="str">
        <f t="array" ref="B42">INDEX('Пр.хода'!$B$6:'Пр.хода'!$B$148,MATCH("37",'Пр.хода'!$AE$6:'Пр.хода'!$AE$148,0),MATCH("№ п/ж",'Пр.хода'!$B$4:'Пр.хода'!$D$4,0))</f>
        <v>#N/A</v>
      </c>
      <c r="C42" s="329" t="str">
        <f>VLOOKUP($B42,'Пр.взв'!$D$6:$J$76,3,0)</f>
        <v>#N/A</v>
      </c>
      <c r="D42" s="330" t="str">
        <f>VLOOKUP($B42,'Пр.взв'!$D$6:$J$76,4,0)</f>
        <v>#N/A</v>
      </c>
      <c r="E42" s="330" t="str">
        <f>VLOOKUP($B42,'Пр.взв'!$D$6:$J$76,6,0)</f>
        <v>#N/A</v>
      </c>
      <c r="F42" s="331" t="str">
        <f>VLOOKUP($B42,'Пр.взв'!$D$6:$J$76,7,0)</f>
        <v>#N/A</v>
      </c>
      <c r="G42" s="331" t="str">
        <f>VLOOKUP($B42,'Пр.взв'!$D$6:$M$76,8,0)</f>
        <v>#N/A</v>
      </c>
      <c r="H42" s="331" t="str">
        <f>VLOOKUP($B42,'Пр.взв'!$D$6:$M$76,10,0)</f>
        <v>#N/A</v>
      </c>
    </row>
    <row r="43">
      <c r="A43" s="335">
        <v>38.0</v>
      </c>
      <c r="B43" s="328" t="str">
        <f t="array" ref="B43">INDEX('Пр.хода'!$B$6:'Пр.хода'!$B$148,MATCH("38",'Пр.хода'!$AE$6:'Пр.хода'!$AE$148,0),MATCH("№ п/ж",'Пр.хода'!$B$4:'Пр.хода'!$D$4,0))</f>
        <v>#N/A</v>
      </c>
      <c r="C43" s="329" t="str">
        <f>VLOOKUP($B43,'Пр.взв'!$D$6:$J$76,3,0)</f>
        <v>#N/A</v>
      </c>
      <c r="D43" s="330" t="str">
        <f>VLOOKUP($B43,'Пр.взв'!$D$6:$J$76,4,0)</f>
        <v>#N/A</v>
      </c>
      <c r="E43" s="330" t="str">
        <f>VLOOKUP($B43,'Пр.взв'!$D$6:$J$76,6,0)</f>
        <v>#N/A</v>
      </c>
      <c r="F43" s="331" t="str">
        <f>VLOOKUP($B43,'Пр.взв'!$D$6:$J$76,7,0)</f>
        <v>#N/A</v>
      </c>
      <c r="G43" s="331" t="str">
        <f>VLOOKUP($B43,'Пр.взв'!$D$6:$M$76,8,0)</f>
        <v>#N/A</v>
      </c>
      <c r="H43" s="331" t="str">
        <f>VLOOKUP($B43,'Пр.взв'!$D$6:$M$76,10,0)</f>
        <v>#N/A</v>
      </c>
    </row>
    <row r="44">
      <c r="A44" s="335">
        <v>39.0</v>
      </c>
      <c r="B44" s="328" t="str">
        <f t="array" ref="B44">INDEX('Пр.хода'!$B$6:'Пр.хода'!$B$148,MATCH("39",'Пр.хода'!$AE$6:'Пр.хода'!$AE$148,0),MATCH("№ п/ж",'Пр.хода'!$B$4:'Пр.хода'!$D$4,0))</f>
        <v>#N/A</v>
      </c>
      <c r="C44" s="329" t="str">
        <f>VLOOKUP($B44,'Пр.взв'!$D$6:$J$76,3,0)</f>
        <v>#N/A</v>
      </c>
      <c r="D44" s="330" t="str">
        <f>VLOOKUP($B44,'Пр.взв'!$D$6:$J$76,4,0)</f>
        <v>#N/A</v>
      </c>
      <c r="E44" s="330" t="str">
        <f>VLOOKUP($B44,'Пр.взв'!$D$6:$J$76,6,0)</f>
        <v>#N/A</v>
      </c>
      <c r="F44" s="331" t="str">
        <f>VLOOKUP($B44,'Пр.взв'!$D$6:$J$76,7,0)</f>
        <v>#N/A</v>
      </c>
      <c r="G44" s="331" t="str">
        <f>VLOOKUP($B44,'Пр.взв'!$D$6:$M$76,8,0)</f>
        <v>#N/A</v>
      </c>
      <c r="H44" s="331" t="str">
        <f>VLOOKUP($B44,'Пр.взв'!$D$6:$M$76,10,0)</f>
        <v>#N/A</v>
      </c>
    </row>
    <row r="45">
      <c r="A45" s="335">
        <v>40.0</v>
      </c>
      <c r="B45" s="328" t="str">
        <f t="array" ref="B45">INDEX('Пр.хода'!$B$6:'Пр.хода'!$B$148,MATCH("40",'Пр.хода'!$AE$6:'Пр.хода'!$AE$148,0),MATCH("№ п/ж",'Пр.хода'!$B$4:'Пр.хода'!$D$4,0))</f>
        <v>#N/A</v>
      </c>
      <c r="C45" s="329" t="str">
        <f>VLOOKUP($B45,'Пр.взв'!$D$6:$J$76,3,0)</f>
        <v>#N/A</v>
      </c>
      <c r="D45" s="330" t="str">
        <f>VLOOKUP($B45,'Пр.взв'!$D$6:$J$76,4,0)</f>
        <v>#N/A</v>
      </c>
      <c r="E45" s="330" t="str">
        <f>VLOOKUP($B45,'Пр.взв'!$D$6:$J$76,6,0)</f>
        <v>#N/A</v>
      </c>
      <c r="F45" s="331" t="str">
        <f>VLOOKUP($B45,'Пр.взв'!$D$6:$J$76,7,0)</f>
        <v>#N/A</v>
      </c>
      <c r="G45" s="331" t="str">
        <f>VLOOKUP($B45,'Пр.взв'!$D$6:$M$76,8,0)</f>
        <v>#N/A</v>
      </c>
      <c r="H45" s="331" t="str">
        <f>VLOOKUP($B45,'Пр.взв'!$D$6:$M$76,10,0)</f>
        <v>#N/A</v>
      </c>
    </row>
    <row r="46">
      <c r="A46" s="335">
        <v>41.0</v>
      </c>
      <c r="B46" s="328" t="str">
        <f t="array" ref="B46">INDEX('Пр.хода'!$B$6:'Пр.хода'!$B$148,MATCH("41",'Пр.хода'!$AE$6:'Пр.хода'!$AE$148,0),MATCH("№ п/ж",'Пр.хода'!$B$4:'Пр.хода'!$D$4,0))</f>
        <v>#N/A</v>
      </c>
      <c r="C46" s="329" t="str">
        <f>VLOOKUP($B46,'Пр.взв'!$D$6:$J$76,3,0)</f>
        <v>#N/A</v>
      </c>
      <c r="D46" s="330" t="str">
        <f>VLOOKUP($B46,'Пр.взв'!$D$6:$J$76,4,0)</f>
        <v>#N/A</v>
      </c>
      <c r="E46" s="330" t="str">
        <f>VLOOKUP($B46,'Пр.взв'!$D$6:$J$76,6,0)</f>
        <v>#N/A</v>
      </c>
      <c r="F46" s="331" t="str">
        <f>VLOOKUP($B46,'Пр.взв'!$D$6:$J$76,7,0)</f>
        <v>#N/A</v>
      </c>
      <c r="G46" s="331" t="str">
        <f>VLOOKUP($B46,'Пр.взв'!$D$6:$M$76,8,0)</f>
        <v>#N/A</v>
      </c>
      <c r="H46" s="331" t="str">
        <f>VLOOKUP($B46,'Пр.взв'!$D$6:$M$76,10,0)</f>
        <v>#N/A</v>
      </c>
    </row>
    <row r="47">
      <c r="A47" s="335">
        <v>42.0</v>
      </c>
      <c r="B47" s="328" t="str">
        <f t="array" ref="B47">INDEX('Пр.хода'!$B$6:'Пр.хода'!$B$148,MATCH("42",'Пр.хода'!$AE$6:'Пр.хода'!$AE$148,0),MATCH("№ п/ж",'Пр.хода'!$B$4:'Пр.хода'!$D$4,0))</f>
        <v>#N/A</v>
      </c>
      <c r="C47" s="329" t="str">
        <f>VLOOKUP($B47,'Пр.взв'!$D$6:$J$76,3,0)</f>
        <v>#N/A</v>
      </c>
      <c r="D47" s="330" t="str">
        <f>VLOOKUP($B47,'Пр.взв'!$D$6:$J$76,4,0)</f>
        <v>#N/A</v>
      </c>
      <c r="E47" s="330" t="str">
        <f>VLOOKUP($B47,'Пр.взв'!$D$6:$J$76,6,0)</f>
        <v>#N/A</v>
      </c>
      <c r="F47" s="331" t="str">
        <f>VLOOKUP($B47,'Пр.взв'!$D$6:$J$76,7,0)</f>
        <v>#N/A</v>
      </c>
      <c r="G47" s="331" t="str">
        <f>VLOOKUP($B47,'Пр.взв'!$D$6:$M$76,8,0)</f>
        <v>#N/A</v>
      </c>
      <c r="H47" s="331" t="str">
        <f>VLOOKUP($B47,'Пр.взв'!$D$6:$M$76,10,0)</f>
        <v>#N/A</v>
      </c>
    </row>
    <row r="48">
      <c r="A48" s="335">
        <v>43.0</v>
      </c>
      <c r="B48" s="328" t="str">
        <f t="array" ref="B48">INDEX('Пр.хода'!$B$6:'Пр.хода'!$B$148,MATCH("43",'Пр.хода'!$AE$6:'Пр.хода'!$AE$148,0),MATCH("№ п/ж",'Пр.хода'!$B$4:'Пр.хода'!$D$4,0))</f>
        <v>#N/A</v>
      </c>
      <c r="C48" s="329" t="str">
        <f>VLOOKUP($B48,'Пр.взв'!$D$6:$J$76,3,0)</f>
        <v>#N/A</v>
      </c>
      <c r="D48" s="330" t="str">
        <f>VLOOKUP($B48,'Пр.взв'!$D$6:$J$76,4,0)</f>
        <v>#N/A</v>
      </c>
      <c r="E48" s="330" t="str">
        <f>VLOOKUP($B48,'Пр.взв'!$D$6:$J$76,6,0)</f>
        <v>#N/A</v>
      </c>
      <c r="F48" s="331" t="str">
        <f>VLOOKUP($B48,'Пр.взв'!$D$6:$J$76,7,0)</f>
        <v>#N/A</v>
      </c>
      <c r="G48" s="331" t="str">
        <f>VLOOKUP($B48,'Пр.взв'!$D$6:$M$76,8,0)</f>
        <v>#N/A</v>
      </c>
      <c r="H48" s="331" t="str">
        <f>VLOOKUP($B48,'Пр.взв'!$D$6:$M$76,10,0)</f>
        <v>#N/A</v>
      </c>
    </row>
    <row r="49">
      <c r="A49" s="335">
        <v>44.0</v>
      </c>
      <c r="B49" s="328" t="str">
        <f t="array" ref="B49">INDEX('Пр.хода'!$B$6:'Пр.хода'!$B$148,MATCH("44",'Пр.хода'!$AE$6:'Пр.хода'!$AE$148,0),MATCH("№ п/ж",'Пр.хода'!$B$4:'Пр.хода'!$D$4,0))</f>
        <v>#N/A</v>
      </c>
      <c r="C49" s="329" t="str">
        <f>VLOOKUP($B49,'Пр.взв'!$D$6:$J$76,3,0)</f>
        <v>#N/A</v>
      </c>
      <c r="D49" s="330" t="str">
        <f>VLOOKUP($B49,'Пр.взв'!$D$6:$J$76,4,0)</f>
        <v>#N/A</v>
      </c>
      <c r="E49" s="330" t="str">
        <f>VLOOKUP($B49,'Пр.взв'!$D$6:$J$76,6,0)</f>
        <v>#N/A</v>
      </c>
      <c r="F49" s="331" t="str">
        <f>VLOOKUP($B49,'Пр.взв'!$D$6:$J$76,7,0)</f>
        <v>#N/A</v>
      </c>
      <c r="G49" s="331" t="str">
        <f>VLOOKUP($B49,'Пр.взв'!$D$6:$M$76,8,0)</f>
        <v>#N/A</v>
      </c>
      <c r="H49" s="331" t="str">
        <f>VLOOKUP($B49,'Пр.взв'!$D$6:$M$76,10,0)</f>
        <v>#N/A</v>
      </c>
    </row>
    <row r="50">
      <c r="A50" s="335">
        <v>45.0</v>
      </c>
      <c r="B50" s="328" t="str">
        <f t="array" ref="B50">INDEX('Пр.хода'!$B$6:'Пр.хода'!$B$148,MATCH("45",'Пр.хода'!$AE$6:'Пр.хода'!$AE$148,0),MATCH("№ п/ж",'Пр.хода'!$B$4:'Пр.хода'!$D$4,0))</f>
        <v>#N/A</v>
      </c>
      <c r="C50" s="329" t="str">
        <f>VLOOKUP($B50,'Пр.взв'!$D$6:$J$76,3,0)</f>
        <v>#N/A</v>
      </c>
      <c r="D50" s="330" t="str">
        <f>VLOOKUP($B50,'Пр.взв'!$D$6:$J$76,4,0)</f>
        <v>#N/A</v>
      </c>
      <c r="E50" s="330" t="str">
        <f>VLOOKUP($B50,'Пр.взв'!$D$6:$J$76,6,0)</f>
        <v>#N/A</v>
      </c>
      <c r="F50" s="331" t="str">
        <f>VLOOKUP($B50,'Пр.взв'!$D$6:$J$76,7,0)</f>
        <v>#N/A</v>
      </c>
      <c r="G50" s="331" t="str">
        <f>VLOOKUP($B50,'Пр.взв'!$D$6:$M$76,8,0)</f>
        <v>#N/A</v>
      </c>
      <c r="H50" s="331" t="str">
        <f>VLOOKUP($B50,'Пр.взв'!$D$6:$M$76,10,0)</f>
        <v>#N/A</v>
      </c>
    </row>
    <row r="51">
      <c r="A51" s="335">
        <v>46.0</v>
      </c>
      <c r="B51" s="328" t="str">
        <f t="array" ref="B51">INDEX('Пр.хода'!$B$6:'Пр.хода'!$B$148,MATCH("46",'Пр.хода'!$AE$6:'Пр.хода'!$AE$148,0),MATCH("№ п/ж",'Пр.хода'!$B$4:'Пр.хода'!$D$4,0))</f>
        <v>#N/A</v>
      </c>
      <c r="C51" s="329" t="str">
        <f>VLOOKUP($B51,'Пр.взв'!$D$6:$J$76,3,0)</f>
        <v>#N/A</v>
      </c>
      <c r="D51" s="330" t="str">
        <f>VLOOKUP($B51,'Пр.взв'!$D$6:$J$76,4,0)</f>
        <v>#N/A</v>
      </c>
      <c r="E51" s="330" t="str">
        <f>VLOOKUP($B51,'Пр.взв'!$D$6:$J$76,6,0)</f>
        <v>#N/A</v>
      </c>
      <c r="F51" s="331" t="str">
        <f>VLOOKUP($B51,'Пр.взв'!$D$6:$J$76,7,0)</f>
        <v>#N/A</v>
      </c>
      <c r="G51" s="331" t="str">
        <f>VLOOKUP($B51,'Пр.взв'!$D$6:$M$76,8,0)</f>
        <v>#N/A</v>
      </c>
      <c r="H51" s="331" t="str">
        <f>VLOOKUP($B51,'Пр.взв'!$D$6:$M$76,10,0)</f>
        <v>#N/A</v>
      </c>
    </row>
    <row r="52">
      <c r="A52" s="335">
        <v>47.0</v>
      </c>
      <c r="B52" s="328" t="str">
        <f t="array" ref="B52">INDEX('Пр.хода'!$B$6:'Пр.хода'!$B$148,MATCH("47",'Пр.хода'!$AE$6:'Пр.хода'!$AE$148,0),MATCH("№ п/ж",'Пр.хода'!$B$4:'Пр.хода'!$D$4,0))</f>
        <v>#N/A</v>
      </c>
      <c r="C52" s="329" t="str">
        <f>VLOOKUP($B52,'Пр.взв'!$D$6:$J$76,3,0)</f>
        <v>#N/A</v>
      </c>
      <c r="D52" s="330" t="str">
        <f>VLOOKUP($B52,'Пр.взв'!$D$6:$J$76,4,0)</f>
        <v>#N/A</v>
      </c>
      <c r="E52" s="330" t="str">
        <f>VLOOKUP($B52,'Пр.взв'!$D$6:$J$76,6,0)</f>
        <v>#N/A</v>
      </c>
      <c r="F52" s="331" t="str">
        <f>VLOOKUP($B52,'Пр.взв'!$D$6:$J$76,7,0)</f>
        <v>#N/A</v>
      </c>
      <c r="G52" s="331" t="str">
        <f>VLOOKUP($B52,'Пр.взв'!$D$6:$M$76,8,0)</f>
        <v>#N/A</v>
      </c>
      <c r="H52" s="331" t="str">
        <f>VLOOKUP($B52,'Пр.взв'!$D$6:$M$76,10,0)</f>
        <v>#N/A</v>
      </c>
    </row>
    <row r="53">
      <c r="A53" s="335">
        <v>48.0</v>
      </c>
      <c r="B53" s="328" t="str">
        <f t="array" ref="B53">INDEX('Пр.хода'!$B$6:'Пр.хода'!$B$148,MATCH("48",'Пр.хода'!$AE$6:'Пр.хода'!$AE$148,0),MATCH("№ п/ж",'Пр.хода'!$B$4:'Пр.хода'!$D$4,0))</f>
        <v>#N/A</v>
      </c>
      <c r="C53" s="329" t="str">
        <f>VLOOKUP($B53,'Пр.взв'!$D$6:$J$76,3,0)</f>
        <v>#N/A</v>
      </c>
      <c r="D53" s="330" t="str">
        <f>VLOOKUP($B53,'Пр.взв'!$D$6:$J$76,4,0)</f>
        <v>#N/A</v>
      </c>
      <c r="E53" s="330" t="str">
        <f>VLOOKUP($B53,'Пр.взв'!$D$6:$J$76,6,0)</f>
        <v>#N/A</v>
      </c>
      <c r="F53" s="331" t="str">
        <f>VLOOKUP($B53,'Пр.взв'!$D$6:$J$76,7,0)</f>
        <v>#N/A</v>
      </c>
      <c r="G53" s="331" t="str">
        <f>VLOOKUP($B53,'Пр.взв'!$D$6:$M$76,8,0)</f>
        <v>#N/A</v>
      </c>
      <c r="H53" s="331" t="str">
        <f>VLOOKUP($B53,'Пр.взв'!$D$6:$M$76,10,0)</f>
        <v>#N/A</v>
      </c>
    </row>
    <row r="54">
      <c r="A54" s="335">
        <v>49.0</v>
      </c>
      <c r="B54" s="328" t="str">
        <f t="array" ref="B54">INDEX('Пр.хода'!$B$6:'Пр.хода'!$B$148,MATCH("49",'Пр.хода'!$AE$6:'Пр.хода'!$AE$148,0),MATCH("№ п/ж",'Пр.хода'!$B$4:'Пр.хода'!$D$4,0))</f>
        <v>#N/A</v>
      </c>
      <c r="C54" s="329" t="str">
        <f>VLOOKUP($B54,'Пр.взв'!$D$6:$J$76,3,0)</f>
        <v>#N/A</v>
      </c>
      <c r="D54" s="330" t="str">
        <f>VLOOKUP($B54,'Пр.взв'!$D$6:$J$76,4,0)</f>
        <v>#N/A</v>
      </c>
      <c r="E54" s="330" t="str">
        <f>VLOOKUP($B54,'Пр.взв'!$D$6:$J$76,6,0)</f>
        <v>#N/A</v>
      </c>
      <c r="F54" s="331" t="str">
        <f>VLOOKUP($B54,'Пр.взв'!$D$6:$J$76,7,0)</f>
        <v>#N/A</v>
      </c>
      <c r="G54" s="331" t="str">
        <f>VLOOKUP($B54,'Пр.взв'!$D$6:$M$76,8,0)</f>
        <v>#N/A</v>
      </c>
      <c r="H54" s="331" t="str">
        <f>VLOOKUP($B54,'Пр.взв'!$D$6:$M$76,10,0)</f>
        <v>#N/A</v>
      </c>
    </row>
    <row r="55">
      <c r="A55" s="335">
        <v>50.0</v>
      </c>
      <c r="B55" s="328" t="str">
        <f t="array" ref="B55">INDEX('Пр.хода'!$B$6:'Пр.хода'!$B$148,MATCH("50",'Пр.хода'!$AE$6:'Пр.хода'!$AE$148,0),MATCH("№ п/ж",'Пр.хода'!$B$4:'Пр.хода'!$D$4,0))</f>
        <v>#N/A</v>
      </c>
      <c r="C55" s="329" t="str">
        <f>VLOOKUP($B55,'Пр.взв'!$D$6:$J$76,3,0)</f>
        <v>#N/A</v>
      </c>
      <c r="D55" s="330" t="str">
        <f>VLOOKUP($B55,'Пр.взв'!$D$6:$J$76,4,0)</f>
        <v>#N/A</v>
      </c>
      <c r="E55" s="330" t="str">
        <f>VLOOKUP($B55,'Пр.взв'!$D$6:$J$76,6,0)</f>
        <v>#N/A</v>
      </c>
      <c r="F55" s="331" t="str">
        <f>VLOOKUP($B55,'Пр.взв'!$D$6:$J$76,7,0)</f>
        <v>#N/A</v>
      </c>
      <c r="G55" s="331" t="str">
        <f>VLOOKUP($B55,'Пр.взв'!$D$6:$M$76,8,0)</f>
        <v>#N/A</v>
      </c>
      <c r="H55" s="331" t="str">
        <f>VLOOKUP($B55,'Пр.взв'!$D$6:$M$76,10,0)</f>
        <v>#N/A</v>
      </c>
    </row>
    <row r="56">
      <c r="A56" s="335">
        <v>51.0</v>
      </c>
      <c r="B56" s="328" t="str">
        <f t="array" ref="B56">INDEX('Пр.хода'!$B$6:'Пр.хода'!$B$148,MATCH("51",'Пр.хода'!$AE$6:'Пр.хода'!$AE$148,0),MATCH("№ п/ж",'Пр.хода'!$B$4:'Пр.хода'!$D$4,0))</f>
        <v>#N/A</v>
      </c>
      <c r="C56" s="329" t="str">
        <f>VLOOKUP($B56,'Пр.взв'!$D$6:$J$76,3,0)</f>
        <v>#N/A</v>
      </c>
      <c r="D56" s="330" t="str">
        <f>VLOOKUP($B56,'Пр.взв'!$D$6:$J$76,4,0)</f>
        <v>#N/A</v>
      </c>
      <c r="E56" s="330" t="str">
        <f>VLOOKUP($B56,'Пр.взв'!$D$6:$J$76,6,0)</f>
        <v>#N/A</v>
      </c>
      <c r="F56" s="331" t="str">
        <f>VLOOKUP($B56,'Пр.взв'!$D$6:$J$76,7,0)</f>
        <v>#N/A</v>
      </c>
      <c r="G56" s="331" t="str">
        <f>VLOOKUP($B56,'Пр.взв'!$D$6:$M$76,8,0)</f>
        <v>#N/A</v>
      </c>
      <c r="H56" s="331" t="str">
        <f>VLOOKUP($B56,'Пр.взв'!$D$6:$M$76,10,0)</f>
        <v>#N/A</v>
      </c>
    </row>
    <row r="57">
      <c r="A57" s="335">
        <v>52.0</v>
      </c>
      <c r="B57" s="328" t="str">
        <f t="array" ref="B57">INDEX('Пр.хода'!$B$6:'Пр.хода'!$B$148,MATCH("52",'Пр.хода'!$AE$6:'Пр.хода'!$AE$148,0),MATCH("№ п/ж",'Пр.хода'!$B$4:'Пр.хода'!$D$4,0))</f>
        <v>#N/A</v>
      </c>
      <c r="C57" s="329" t="str">
        <f>VLOOKUP($B57,'Пр.взв'!$D$6:$J$76,3,0)</f>
        <v>#N/A</v>
      </c>
      <c r="D57" s="330" t="str">
        <f>VLOOKUP($B57,'Пр.взв'!$D$6:$J$76,4,0)</f>
        <v>#N/A</v>
      </c>
      <c r="E57" s="330" t="str">
        <f>VLOOKUP($B57,'Пр.взв'!$D$6:$J$76,6,0)</f>
        <v>#N/A</v>
      </c>
      <c r="F57" s="331" t="str">
        <f>VLOOKUP($B57,'Пр.взв'!$D$6:$J$76,7,0)</f>
        <v>#N/A</v>
      </c>
      <c r="G57" s="331" t="str">
        <f>VLOOKUP($B57,'Пр.взв'!$D$6:$M$76,8,0)</f>
        <v>#N/A</v>
      </c>
      <c r="H57" s="331" t="str">
        <f>VLOOKUP($B57,'Пр.взв'!$D$6:$M$76,10,0)</f>
        <v>#N/A</v>
      </c>
    </row>
    <row r="58">
      <c r="A58" s="335">
        <v>53.0</v>
      </c>
      <c r="B58" s="328" t="str">
        <f t="array" ref="B58">INDEX('Пр.хода'!$B$6:'Пр.хода'!$B$148,MATCH("53",'Пр.хода'!$AE$6:'Пр.хода'!$AE$148,0),MATCH("№ п/ж",'Пр.хода'!$B$4:'Пр.хода'!$D$4,0))</f>
        <v>#N/A</v>
      </c>
      <c r="C58" s="329" t="str">
        <f>VLOOKUP($B58,'Пр.взв'!$D$6:$J$76,3,0)</f>
        <v>#N/A</v>
      </c>
      <c r="D58" s="330" t="str">
        <f>VLOOKUP($B58,'Пр.взв'!$D$6:$J$76,4,0)</f>
        <v>#N/A</v>
      </c>
      <c r="E58" s="330" t="str">
        <f>VLOOKUP($B58,'Пр.взв'!$D$6:$J$76,6,0)</f>
        <v>#N/A</v>
      </c>
      <c r="F58" s="331" t="str">
        <f>VLOOKUP($B58,'Пр.взв'!$D$6:$J$76,7,0)</f>
        <v>#N/A</v>
      </c>
      <c r="G58" s="331" t="str">
        <f>VLOOKUP($B58,'Пр.взв'!$D$6:$M$76,8,0)</f>
        <v>#N/A</v>
      </c>
      <c r="H58" s="331" t="str">
        <f>VLOOKUP($B58,'Пр.взв'!$D$6:$M$76,10,0)</f>
        <v>#N/A</v>
      </c>
    </row>
    <row r="59">
      <c r="A59" s="335">
        <v>54.0</v>
      </c>
      <c r="B59" s="328" t="str">
        <f t="array" ref="B59">INDEX('Пр.хода'!$B$6:'Пр.хода'!$B$148,MATCH("54",'Пр.хода'!$AE$6:'Пр.хода'!$AE$148,0),MATCH("№ п/ж",'Пр.хода'!$B$4:'Пр.хода'!$D$4,0))</f>
        <v>#N/A</v>
      </c>
      <c r="C59" s="329" t="str">
        <f>VLOOKUP($B59,'Пр.взв'!$D$6:$J$76,3,0)</f>
        <v>#N/A</v>
      </c>
      <c r="D59" s="330" t="str">
        <f>VLOOKUP($B59,'Пр.взв'!$D$6:$J$76,4,0)</f>
        <v>#N/A</v>
      </c>
      <c r="E59" s="330" t="str">
        <f>VLOOKUP($B59,'Пр.взв'!$D$6:$J$76,6,0)</f>
        <v>#N/A</v>
      </c>
      <c r="F59" s="331" t="str">
        <f>VLOOKUP($B59,'Пр.взв'!$D$6:$J$76,7,0)</f>
        <v>#N/A</v>
      </c>
      <c r="G59" s="331" t="str">
        <f>VLOOKUP($B59,'Пр.взв'!$D$6:$M$76,8,0)</f>
        <v>#N/A</v>
      </c>
      <c r="H59" s="331" t="str">
        <f>VLOOKUP($B59,'Пр.взв'!$D$6:$M$76,10,0)</f>
        <v>#N/A</v>
      </c>
    </row>
    <row r="60">
      <c r="A60" s="335">
        <v>55.0</v>
      </c>
      <c r="B60" s="328" t="str">
        <f t="array" ref="B60">INDEX('Пр.хода'!$B$6:'Пр.хода'!$B$148,MATCH("55",'Пр.хода'!$AE$6:'Пр.хода'!$AE$148,0),MATCH("№ п/ж",'Пр.хода'!$B$4:'Пр.хода'!$D$4,0))</f>
        <v>#N/A</v>
      </c>
      <c r="C60" s="329" t="str">
        <f>VLOOKUP($B60,'Пр.взв'!$D$6:$J$76,3,0)</f>
        <v>#N/A</v>
      </c>
      <c r="D60" s="330" t="str">
        <f>VLOOKUP($B60,'Пр.взв'!$D$6:$J$76,4,0)</f>
        <v>#N/A</v>
      </c>
      <c r="E60" s="330" t="str">
        <f>VLOOKUP($B60,'Пр.взв'!$D$6:$J$76,6,0)</f>
        <v>#N/A</v>
      </c>
      <c r="F60" s="331" t="str">
        <f>VLOOKUP($B60,'Пр.взв'!$D$6:$J$76,7,0)</f>
        <v>#N/A</v>
      </c>
      <c r="G60" s="331" t="str">
        <f>VLOOKUP($B60,'Пр.взв'!$D$6:$M$76,8,0)</f>
        <v>#N/A</v>
      </c>
      <c r="H60" s="331" t="str">
        <f>VLOOKUP($B60,'Пр.взв'!$D$6:$M$76,10,0)</f>
        <v>#N/A</v>
      </c>
    </row>
    <row r="61">
      <c r="A61" s="335">
        <v>56.0</v>
      </c>
      <c r="B61" s="328" t="str">
        <f t="array" ref="B61">INDEX('Пр.хода'!$B$6:'Пр.хода'!$B$148,MATCH("56",'Пр.хода'!$AE$6:'Пр.хода'!$AE$148,0),MATCH("№ п/ж",'Пр.хода'!$B$4:'Пр.хода'!$D$4,0))</f>
        <v>#N/A</v>
      </c>
      <c r="C61" s="329" t="str">
        <f>VLOOKUP($B61,'Пр.взв'!$D$6:$J$76,3,0)</f>
        <v>#N/A</v>
      </c>
      <c r="D61" s="330" t="str">
        <f>VLOOKUP($B61,'Пр.взв'!$D$6:$J$76,4,0)</f>
        <v>#N/A</v>
      </c>
      <c r="E61" s="330" t="str">
        <f>VLOOKUP($B61,'Пр.взв'!$D$6:$J$76,6,0)</f>
        <v>#N/A</v>
      </c>
      <c r="F61" s="331" t="str">
        <f>VLOOKUP($B61,'Пр.взв'!$D$6:$J$76,7,0)</f>
        <v>#N/A</v>
      </c>
      <c r="G61" s="331" t="str">
        <f>VLOOKUP($B61,'Пр.взв'!$D$6:$M$76,8,0)</f>
        <v>#N/A</v>
      </c>
      <c r="H61" s="331" t="str">
        <f>VLOOKUP($B61,'Пр.взв'!$D$6:$M$76,10,0)</f>
        <v>#N/A</v>
      </c>
    </row>
    <row r="62">
      <c r="A62" s="335">
        <v>57.0</v>
      </c>
      <c r="B62" s="328" t="str">
        <f t="array" ref="B62">INDEX('Пр.хода'!$B$6:'Пр.хода'!$B$148,MATCH("57",'Пр.хода'!$AE$6:'Пр.хода'!$AE$148,0),MATCH("№ п/ж",'Пр.хода'!$B$4:'Пр.хода'!$D$4,0))</f>
        <v>#N/A</v>
      </c>
      <c r="C62" s="329" t="str">
        <f>VLOOKUP($B62,'Пр.взв'!$D$6:$J$76,3,0)</f>
        <v>#N/A</v>
      </c>
      <c r="D62" s="330" t="str">
        <f>VLOOKUP($B62,'Пр.взв'!$D$6:$J$76,4,0)</f>
        <v>#N/A</v>
      </c>
      <c r="E62" s="330" t="str">
        <f>VLOOKUP($B62,'Пр.взв'!$D$6:$J$76,6,0)</f>
        <v>#N/A</v>
      </c>
      <c r="F62" s="331" t="str">
        <f>VLOOKUP($B62,'Пр.взв'!$D$6:$J$76,7,0)</f>
        <v>#N/A</v>
      </c>
      <c r="G62" s="331" t="str">
        <f>VLOOKUP($B62,'Пр.взв'!$D$6:$M$76,8,0)</f>
        <v>#N/A</v>
      </c>
      <c r="H62" s="331" t="str">
        <f>VLOOKUP($B62,'Пр.взв'!$D$6:$M$76,10,0)</f>
        <v>#N/A</v>
      </c>
    </row>
    <row r="63">
      <c r="A63" s="335">
        <v>58.0</v>
      </c>
      <c r="B63" s="328" t="str">
        <f t="array" ref="B63">INDEX('Пр.хода'!$B$6:'Пр.хода'!$B$148,MATCH("58",'Пр.хода'!$AE$6:'Пр.хода'!$AE$148,0),MATCH("№ п/ж",'Пр.хода'!$B$4:'Пр.хода'!$D$4,0))</f>
        <v>#N/A</v>
      </c>
      <c r="C63" s="329" t="str">
        <f>VLOOKUP($B63,'Пр.взв'!$D$6:$J$76,3,0)</f>
        <v>#N/A</v>
      </c>
      <c r="D63" s="330" t="str">
        <f>VLOOKUP($B63,'Пр.взв'!$D$6:$J$76,4,0)</f>
        <v>#N/A</v>
      </c>
      <c r="E63" s="330" t="str">
        <f>VLOOKUP($B63,'Пр.взв'!$D$6:$J$76,6,0)</f>
        <v>#N/A</v>
      </c>
      <c r="F63" s="331" t="str">
        <f>VLOOKUP($B63,'Пр.взв'!$D$6:$J$76,7,0)</f>
        <v>#N/A</v>
      </c>
      <c r="G63" s="331" t="str">
        <f>VLOOKUP($B63,'Пр.взв'!$D$6:$M$76,8,0)</f>
        <v>#N/A</v>
      </c>
      <c r="H63" s="331" t="str">
        <f>VLOOKUP($B63,'Пр.взв'!$D$6:$M$76,10,0)</f>
        <v>#N/A</v>
      </c>
    </row>
    <row r="64" hidden="1">
      <c r="A64" s="335">
        <v>59.0</v>
      </c>
      <c r="B64" s="328" t="str">
        <f t="array" ref="B64">INDEX('Пр.хода'!$B$6:'Пр.хода'!$B$148,MATCH("59",'Пр.хода'!$AE$6:'Пр.хода'!$AE$148,0),MATCH("№ п/ж",'Пр.хода'!$B$4:'Пр.хода'!$D$4,0))</f>
        <v>#N/A</v>
      </c>
      <c r="C64" s="329" t="str">
        <f>VLOOKUP($B64,'Пр.взв'!$D$6:$J$76,3,0)</f>
        <v>#N/A</v>
      </c>
      <c r="D64" s="330" t="str">
        <f>VLOOKUP($B64,'Пр.взв'!$D$6:$J$76,4,0)</f>
        <v>#N/A</v>
      </c>
      <c r="E64" s="330" t="str">
        <f>VLOOKUP($B64,'Пр.взв'!$D$6:$J$76,6,0)</f>
        <v>#N/A</v>
      </c>
      <c r="F64" s="331" t="str">
        <f>VLOOKUP($B64,'Пр.взв'!$D$6:$J$76,7,0)</f>
        <v>#N/A</v>
      </c>
      <c r="G64" s="331" t="str">
        <f>VLOOKUP($B64,'Пр.взв'!$D$6:$M$76,8,0)</f>
        <v>#N/A</v>
      </c>
      <c r="H64" s="331" t="str">
        <f>VLOOKUP($B64,'Пр.взв'!$D$6:$M$76,10,0)</f>
        <v>#N/A</v>
      </c>
    </row>
    <row r="65" hidden="1">
      <c r="A65" s="335">
        <v>60.0</v>
      </c>
      <c r="B65" s="328" t="str">
        <f t="array" ref="B65">INDEX('Пр.хода'!$B$6:'Пр.хода'!$B$148,MATCH("60",'Пр.хода'!$AE$6:'Пр.хода'!$AE$148,0),MATCH("№ п/ж",'Пр.хода'!$B$4:'Пр.хода'!$D$4,0))</f>
        <v>#N/A</v>
      </c>
      <c r="C65" s="329" t="str">
        <f>VLOOKUP($B65,'Пр.взв'!$D$6:$J$76,3,0)</f>
        <v>#N/A</v>
      </c>
      <c r="D65" s="330" t="str">
        <f>VLOOKUP($B65,'Пр.взв'!$D$6:$J$76,4,0)</f>
        <v>#N/A</v>
      </c>
      <c r="E65" s="330" t="str">
        <f>VLOOKUP($B65,'Пр.взв'!$D$6:$J$76,6,0)</f>
        <v>#N/A</v>
      </c>
      <c r="F65" s="331" t="str">
        <f>VLOOKUP($B65,'Пр.взв'!$D$6:$J$76,7,0)</f>
        <v>#N/A</v>
      </c>
      <c r="G65" s="331" t="str">
        <f>VLOOKUP($B65,'Пр.взв'!$D$6:$M$76,8,0)</f>
        <v>#N/A</v>
      </c>
      <c r="H65" s="331" t="str">
        <f>VLOOKUP($B65,'Пр.взв'!$D$6:$M$76,10,0)</f>
        <v>#N/A</v>
      </c>
    </row>
    <row r="66" hidden="1">
      <c r="A66" s="335">
        <v>61.0</v>
      </c>
      <c r="B66" s="328" t="str">
        <f t="array" ref="B66">INDEX('Пр.хода'!$B$6:'Пр.хода'!$B$148,MATCH("61",'Пр.хода'!$AE$6:'Пр.хода'!$AE$148,0),MATCH("№ п/ж",'Пр.хода'!$B$4:'Пр.хода'!$D$4,0))</f>
        <v>#N/A</v>
      </c>
      <c r="C66" s="329" t="str">
        <f>VLOOKUP($B66,'Пр.взв'!$D$6:$J$76,3,0)</f>
        <v>#N/A</v>
      </c>
      <c r="D66" s="330" t="str">
        <f>VLOOKUP($B66,'Пр.взв'!$D$6:$J$76,4,0)</f>
        <v>#N/A</v>
      </c>
      <c r="E66" s="330" t="str">
        <f>VLOOKUP($B66,'Пр.взв'!$D$6:$J$76,6,0)</f>
        <v>#N/A</v>
      </c>
      <c r="F66" s="331" t="str">
        <f>VLOOKUP($B66,'Пр.взв'!$D$6:$J$76,7,0)</f>
        <v>#N/A</v>
      </c>
      <c r="G66" s="331" t="str">
        <f>VLOOKUP($B66,'Пр.взв'!$D$6:$M$76,8,0)</f>
        <v>#N/A</v>
      </c>
      <c r="H66" s="331" t="str">
        <f>VLOOKUP($B66,'Пр.взв'!$D$6:$M$76,10,0)</f>
        <v>#N/A</v>
      </c>
    </row>
    <row r="67" hidden="1">
      <c r="A67" s="335">
        <v>62.0</v>
      </c>
      <c r="B67" s="328" t="str">
        <f t="array" ref="B67">INDEX('Пр.хода'!$B$6:'Пр.хода'!$B$148,MATCH("62",'Пр.хода'!$AE$6:'Пр.хода'!$AE$148,0),MATCH("№ п/ж",'Пр.хода'!$B$4:'Пр.хода'!$D$4,0))</f>
        <v>#N/A</v>
      </c>
      <c r="C67" s="329" t="str">
        <f>VLOOKUP($B67,'Пр.взв'!$D$6:$J$76,3,0)</f>
        <v>#N/A</v>
      </c>
      <c r="D67" s="330" t="str">
        <f>VLOOKUP($B67,'Пр.взв'!$D$6:$J$76,4,0)</f>
        <v>#N/A</v>
      </c>
      <c r="E67" s="330" t="str">
        <f>VLOOKUP($B67,'Пр.взв'!$D$6:$J$76,6,0)</f>
        <v>#N/A</v>
      </c>
      <c r="F67" s="331" t="str">
        <f>VLOOKUP($B67,'Пр.взв'!$D$6:$J$76,7,0)</f>
        <v>#N/A</v>
      </c>
      <c r="G67" s="331" t="str">
        <f>VLOOKUP($B67,'Пр.взв'!$D$6:$M$76,8,0)</f>
        <v>#N/A</v>
      </c>
      <c r="H67" s="331" t="str">
        <f>VLOOKUP($B67,'Пр.взв'!$D$6:$M$76,10,0)</f>
        <v>#N/A</v>
      </c>
    </row>
    <row r="68" hidden="1">
      <c r="A68" s="335">
        <v>63.0</v>
      </c>
      <c r="B68" s="328" t="str">
        <f t="array" ref="B68">INDEX('Пр.хода'!$B$6:'Пр.хода'!$B$148,MATCH("63",'Пр.хода'!$AE$6:'Пр.хода'!$AE$148,0),MATCH("№ п/ж",'Пр.хода'!$B$4:'Пр.хода'!$D$4,0))</f>
        <v>#N/A</v>
      </c>
      <c r="C68" s="329" t="str">
        <f>VLOOKUP($B68,'Пр.взв'!$D$6:$J$76,3,0)</f>
        <v>#N/A</v>
      </c>
      <c r="D68" s="330" t="str">
        <f>VLOOKUP($B68,'Пр.взв'!$D$6:$J$76,4,0)</f>
        <v>#N/A</v>
      </c>
      <c r="E68" s="330" t="str">
        <f>VLOOKUP($B68,'Пр.взв'!$D$6:$J$76,6,0)</f>
        <v>#N/A</v>
      </c>
      <c r="F68" s="331" t="str">
        <f>VLOOKUP($B68,'Пр.взв'!$D$6:$J$76,7,0)</f>
        <v>#N/A</v>
      </c>
      <c r="G68" s="331" t="str">
        <f>VLOOKUP($B68,'Пр.взв'!$D$6:$M$76,8,0)</f>
        <v>#N/A</v>
      </c>
      <c r="H68" s="331" t="str">
        <f>VLOOKUP($B68,'Пр.взв'!$D$6:$M$76,10,0)</f>
        <v>#N/A</v>
      </c>
    </row>
    <row r="69" hidden="1">
      <c r="A69" s="335">
        <v>64.0</v>
      </c>
      <c r="B69" s="328" t="str">
        <f t="array" ref="B69">INDEX('Пр.хода'!$B$6:'Пр.хода'!$B$148,MATCH("64",'Пр.хода'!$AE$6:'Пр.хода'!$AE$148,0),MATCH("№ п/ж",'Пр.хода'!$B$4:'Пр.хода'!$D$4,0))</f>
        <v>#N/A</v>
      </c>
      <c r="C69" s="329" t="str">
        <f>VLOOKUP($B69,'Пр.взв'!$D$6:$J$76,3,0)</f>
        <v>#N/A</v>
      </c>
      <c r="D69" s="330" t="str">
        <f>VLOOKUP($B69,'Пр.взв'!$D$6:$J$76,4,0)</f>
        <v>#N/A</v>
      </c>
      <c r="E69" s="330" t="str">
        <f>VLOOKUP($B69,'Пр.взв'!$D$6:$J$76,6,0)</f>
        <v>#N/A</v>
      </c>
      <c r="F69" s="331" t="str">
        <f>VLOOKUP($B69,'Пр.взв'!$D$6:$J$76,7,0)</f>
        <v>#N/A</v>
      </c>
      <c r="G69" s="331" t="str">
        <f>VLOOKUP($B69,'Пр.взв'!$D$6:$M$76,8,0)</f>
        <v>#N/A</v>
      </c>
      <c r="H69" s="331" t="str">
        <f>VLOOKUP($B69,'Пр.взв'!$D$6:$M$76,10,0)</f>
        <v>#N/A</v>
      </c>
    </row>
    <row r="70" hidden="1">
      <c r="A70" s="335">
        <v>65.0</v>
      </c>
      <c r="B70" s="328" t="str">
        <f t="array" ref="B70">INDEX('Пр.хода'!$B$6:'Пр.хода'!$B$148,MATCH("65",'Пр.хода'!$AE$6:'Пр.хода'!$AE$148,0),MATCH("№ п/ж",'Пр.хода'!$B$4:'Пр.хода'!$D$4,0))</f>
        <v>#N/A</v>
      </c>
      <c r="C70" s="329" t="str">
        <f>VLOOKUP($B70,'Пр.взв'!$D$6:$J$76,3,0)</f>
        <v>#N/A</v>
      </c>
      <c r="D70" s="330" t="str">
        <f>VLOOKUP($B70,'Пр.взв'!$D$6:$J$76,4,0)</f>
        <v>#N/A</v>
      </c>
      <c r="E70" s="330" t="str">
        <f>VLOOKUP($B70,'Пр.взв'!$D$6:$J$76,6,0)</f>
        <v>#N/A</v>
      </c>
      <c r="F70" s="331" t="str">
        <f>VLOOKUP($B70,'Пр.взв'!$D$6:$J$76,7,0)</f>
        <v>#N/A</v>
      </c>
      <c r="G70" s="331" t="str">
        <f>VLOOKUP($B70,'Пр.взв'!$D$6:$M$76,8,0)</f>
        <v>#N/A</v>
      </c>
      <c r="H70" s="331" t="str">
        <f>VLOOKUP($B70,'Пр.взв'!$D$6:$M$76,10,0)</f>
        <v>#N/A</v>
      </c>
    </row>
    <row r="71" hidden="1">
      <c r="A71" s="335">
        <v>66.0</v>
      </c>
      <c r="B71" s="328" t="str">
        <f t="array" ref="B71">INDEX('Пр.хода'!$B$6:'Пр.хода'!$B$148,MATCH("66",'Пр.хода'!$AE$6:'Пр.хода'!$AE$148,0),MATCH("№ п/ж",'Пр.хода'!$B$4:'Пр.хода'!$D$4,0))</f>
        <v>#N/A</v>
      </c>
      <c r="C71" s="329" t="str">
        <f>VLOOKUP($B71,'Пр.взв'!$D$6:$J$76,3,0)</f>
        <v>#N/A</v>
      </c>
      <c r="D71" s="330" t="str">
        <f>VLOOKUP($B71,'Пр.взв'!$D$6:$J$76,4,0)</f>
        <v>#N/A</v>
      </c>
      <c r="E71" s="330" t="str">
        <f>VLOOKUP($B71,'Пр.взв'!$D$6:$J$76,6,0)</f>
        <v>#N/A</v>
      </c>
      <c r="F71" s="331" t="str">
        <f>VLOOKUP($B71,'Пр.взв'!$D$6:$J$76,7,0)</f>
        <v>#N/A</v>
      </c>
      <c r="G71" s="331" t="str">
        <f>VLOOKUP($B71,'Пр.взв'!$D$6:$M$76,8,0)</f>
        <v>#N/A</v>
      </c>
      <c r="H71" s="331" t="str">
        <f>VLOOKUP($B71,'Пр.взв'!$D$6:$M$76,10,0)</f>
        <v>#N/A</v>
      </c>
    </row>
    <row r="72" hidden="1">
      <c r="A72" s="335">
        <v>67.0</v>
      </c>
      <c r="B72" s="328" t="str">
        <f t="array" ref="B72">INDEX('Пр.хода'!$B$6:'Пр.хода'!$B$148,MATCH("67",'Пр.хода'!$AE$6:'Пр.хода'!$AE$148,0),MATCH("№ п/ж",'Пр.хода'!$B$4:'Пр.хода'!$D$4,0))</f>
        <v>#N/A</v>
      </c>
      <c r="C72" s="329" t="str">
        <f>VLOOKUP($B72,'Пр.взв'!$D$6:$J$76,3,0)</f>
        <v>#N/A</v>
      </c>
      <c r="D72" s="330" t="str">
        <f>VLOOKUP($B72,'Пр.взв'!$D$6:$J$76,4,0)</f>
        <v>#N/A</v>
      </c>
      <c r="E72" s="330" t="str">
        <f>VLOOKUP($B72,'Пр.взв'!$D$6:$J$76,6,0)</f>
        <v>#N/A</v>
      </c>
      <c r="F72" s="331" t="str">
        <f>VLOOKUP($B72,'Пр.взв'!$D$6:$J$76,7,0)</f>
        <v>#N/A</v>
      </c>
      <c r="G72" s="331" t="str">
        <f>VLOOKUP($B72,'Пр.взв'!$D$6:$M$76,8,0)</f>
        <v>#N/A</v>
      </c>
      <c r="H72" s="331" t="str">
        <f>VLOOKUP($B72,'Пр.взв'!$D$6:$M$76,10,0)</f>
        <v>#N/A</v>
      </c>
    </row>
    <row r="73" hidden="1">
      <c r="A73" s="335">
        <v>68.0</v>
      </c>
      <c r="B73" s="328" t="str">
        <f t="array" ref="B73">INDEX('Пр.хода'!$B$6:'Пр.хода'!$B$148,MATCH("68",'Пр.хода'!$AE$6:'Пр.хода'!$AE$148,0),MATCH("№ п/ж",'Пр.хода'!$B$4:'Пр.хода'!$D$4,0))</f>
        <v>#N/A</v>
      </c>
      <c r="C73" s="329" t="str">
        <f>VLOOKUP($B73,'Пр.взв'!$D$6:$J$76,3,0)</f>
        <v>#N/A</v>
      </c>
      <c r="D73" s="330" t="str">
        <f>VLOOKUP($B73,'Пр.взв'!$D$6:$J$76,4,0)</f>
        <v>#N/A</v>
      </c>
      <c r="E73" s="330" t="str">
        <f>VLOOKUP($B73,'Пр.взв'!$D$6:$J$76,6,0)</f>
        <v>#N/A</v>
      </c>
      <c r="F73" s="331" t="str">
        <f>VLOOKUP($B73,'Пр.взв'!$D$6:$J$76,7,0)</f>
        <v>#N/A</v>
      </c>
      <c r="G73" s="331" t="str">
        <f>VLOOKUP($B73,'Пр.взв'!$D$6:$M$76,8,0)</f>
        <v>#N/A</v>
      </c>
      <c r="H73" s="331" t="str">
        <f>VLOOKUP($B73,'Пр.взв'!$D$6:$M$76,10,0)</f>
        <v>#N/A</v>
      </c>
    </row>
    <row r="74" hidden="1">
      <c r="A74" s="335">
        <v>69.0</v>
      </c>
      <c r="B74" s="328" t="str">
        <f t="array" ref="B74">INDEX('Пр.хода'!$B$6:'Пр.хода'!$B$148,MATCH("69",'Пр.хода'!$AE$6:'Пр.хода'!$AE$148,0),MATCH("№ п/ж",'Пр.хода'!$B$4:'Пр.хода'!$D$4,0))</f>
        <v>#N/A</v>
      </c>
      <c r="C74" s="329" t="str">
        <f>VLOOKUP($B74,'Пр.взв'!$D$6:$J$76,3,0)</f>
        <v>#N/A</v>
      </c>
      <c r="D74" s="330" t="str">
        <f>VLOOKUP($B74,'Пр.взв'!$D$6:$J$76,4,0)</f>
        <v>#N/A</v>
      </c>
      <c r="E74" s="330" t="str">
        <f>VLOOKUP($B74,'Пр.взв'!$D$6:$J$76,6,0)</f>
        <v>#N/A</v>
      </c>
      <c r="F74" s="331" t="str">
        <f>VLOOKUP($B74,'Пр.взв'!$D$6:$J$76,7,0)</f>
        <v>#N/A</v>
      </c>
      <c r="G74" s="331" t="str">
        <f>VLOOKUP($B74,'Пр.взв'!$D$6:$M$76,8,0)</f>
        <v>#N/A</v>
      </c>
      <c r="H74" s="331" t="str">
        <f>VLOOKUP($B74,'Пр.взв'!$D$6:$M$76,10,0)</f>
        <v>#N/A</v>
      </c>
    </row>
    <row r="75" hidden="1">
      <c r="A75" s="335">
        <v>70.0</v>
      </c>
      <c r="B75" s="328" t="str">
        <f t="array" ref="B75">INDEX('Пр.хода'!$B$6:'Пр.хода'!$B$148,MATCH("70",'Пр.хода'!$AE$6:'Пр.хода'!$AE$148,0),MATCH("№ п/ж",'Пр.хода'!$B$4:'Пр.хода'!$D$4,0))</f>
        <v>#N/A</v>
      </c>
      <c r="C75" s="329" t="str">
        <f>VLOOKUP($B75,'Пр.взв'!$D$6:$J$76,3,0)</f>
        <v>#N/A</v>
      </c>
      <c r="D75" s="330" t="str">
        <f>VLOOKUP($B75,'Пр.взв'!$D$6:$J$76,4,0)</f>
        <v>#N/A</v>
      </c>
      <c r="E75" s="330" t="str">
        <f>VLOOKUP($B75,'Пр.взв'!$D$6:$J$76,6,0)</f>
        <v>#N/A</v>
      </c>
      <c r="F75" s="331" t="str">
        <f>VLOOKUP($B75,'Пр.взв'!$D$6:$J$76,7,0)</f>
        <v>#N/A</v>
      </c>
      <c r="G75" s="331" t="str">
        <f>VLOOKUP($B75,'Пр.взв'!$D$6:$M$76,8,0)</f>
        <v>#N/A</v>
      </c>
      <c r="H75" s="331" t="str">
        <f>VLOOKUP($B75,'Пр.взв'!$D$6:$M$76,10,0)</f>
        <v>#N/A</v>
      </c>
    </row>
    <row r="76" hidden="1">
      <c r="A76" s="335">
        <v>71.0</v>
      </c>
      <c r="B76" s="328" t="str">
        <f t="array" ref="B76">INDEX('Пр.хода'!$B$6:'Пр.хода'!$B$148,MATCH("71",'Пр.хода'!$AE$6:'Пр.хода'!$AE$148,0),MATCH("№ п/ж",'Пр.хода'!$B$4:'Пр.хода'!$D$4,0))</f>
        <v>#N/A</v>
      </c>
      <c r="C76" s="329" t="str">
        <f>VLOOKUP($B76,'Пр.взв'!$D$6:$J$76,3,0)</f>
        <v>#N/A</v>
      </c>
      <c r="D76" s="330" t="str">
        <f>VLOOKUP($B76,'Пр.взв'!$D$6:$J$76,4,0)</f>
        <v>#N/A</v>
      </c>
      <c r="E76" s="330" t="str">
        <f>VLOOKUP($B76,'Пр.взв'!$D$6:$J$76,6,0)</f>
        <v>#N/A</v>
      </c>
      <c r="F76" s="331" t="str">
        <f>VLOOKUP($B76,'Пр.взв'!$D$6:$J$76,7,0)</f>
        <v>#N/A</v>
      </c>
      <c r="G76" s="331" t="str">
        <f>VLOOKUP($B76,'Пр.взв'!$D$6:$M$76,8,0)</f>
        <v>#N/A</v>
      </c>
      <c r="H76" s="331" t="str">
        <f>VLOOKUP($B76,'Пр.взв'!$D$6:$M$76,10,0)</f>
        <v>#N/A</v>
      </c>
    </row>
    <row r="77">
      <c r="A77" s="336"/>
      <c r="B77" s="337"/>
      <c r="C77" s="337"/>
      <c r="D77" s="337"/>
      <c r="E77" s="337"/>
      <c r="F77" s="338"/>
      <c r="G77" s="337"/>
      <c r="H77" s="337"/>
    </row>
    <row r="78" ht="17.25" customHeight="1">
      <c r="A78" s="336" t="str">
        <f>'Пр.хода'!B153</f>
        <v>Гл.судья, судья ВК</v>
      </c>
      <c r="B78" s="337"/>
      <c r="C78" s="337"/>
      <c r="D78" s="337"/>
      <c r="E78" s="337"/>
      <c r="F78" s="338" t="str">
        <f>'Пр.хода'!N153</f>
        <v>Редин Д.А.
</v>
      </c>
      <c r="G78" s="337"/>
      <c r="H78" s="337" t="str">
        <f>'Пр.хода'!Y153</f>
        <v>/ г.Хабаровск /</v>
      </c>
    </row>
    <row r="79" ht="9.0" customHeight="1">
      <c r="A79" s="339"/>
      <c r="B79" s="337"/>
      <c r="C79" s="337"/>
      <c r="D79" s="337"/>
      <c r="E79" s="337"/>
      <c r="F79" s="338"/>
      <c r="G79" s="337"/>
      <c r="H79" s="337"/>
    </row>
    <row r="80">
      <c r="A80" s="336" t="str">
        <f>'Пр.хода'!B154</f>
        <v>Гл.секретарь, судья ВК</v>
      </c>
      <c r="B80" s="337"/>
      <c r="C80" s="337"/>
      <c r="D80" s="337"/>
      <c r="E80" s="337"/>
      <c r="F80" s="338" t="str">
        <f>'Пр.хода'!N154</f>
        <v>Зарипов А.А.</v>
      </c>
      <c r="G80" s="337"/>
      <c r="H80" s="337" t="str">
        <f>'Пр.хода'!Y154</f>
        <v>/ Р.Татарстан /</v>
      </c>
    </row>
    <row r="81">
      <c r="B81" s="337"/>
      <c r="C81" s="337"/>
      <c r="D81" s="337"/>
      <c r="E81" s="337"/>
      <c r="F81" s="337"/>
      <c r="G81" s="337"/>
      <c r="H81" s="337"/>
    </row>
    <row r="82">
      <c r="B82" s="337"/>
      <c r="C82" s="337"/>
      <c r="D82" s="337"/>
      <c r="E82" s="337"/>
      <c r="F82" s="337"/>
      <c r="G82" s="337"/>
      <c r="H82" s="337"/>
    </row>
    <row r="83">
      <c r="B83" s="337"/>
      <c r="C83" s="337"/>
      <c r="D83" s="337"/>
      <c r="E83" s="337"/>
      <c r="F83" s="337"/>
      <c r="G83" s="337"/>
      <c r="H83" s="337"/>
    </row>
    <row r="84">
      <c r="B84" s="337"/>
      <c r="C84" s="337"/>
      <c r="D84" s="337"/>
      <c r="E84" s="337"/>
      <c r="F84" s="337"/>
      <c r="G84" s="337"/>
      <c r="H84" s="337"/>
    </row>
    <row r="85">
      <c r="B85" s="337"/>
      <c r="C85" s="337"/>
      <c r="D85" s="337"/>
      <c r="E85" s="337"/>
      <c r="F85" s="337"/>
      <c r="G85" s="337"/>
      <c r="H85" s="337"/>
    </row>
    <row r="86">
      <c r="B86" s="337"/>
      <c r="C86" s="337"/>
      <c r="D86" s="337"/>
      <c r="E86" s="337"/>
      <c r="F86" s="337"/>
      <c r="G86" s="337"/>
      <c r="H86" s="337"/>
    </row>
    <row r="87">
      <c r="B87" s="337"/>
      <c r="C87" s="337"/>
      <c r="D87" s="337"/>
      <c r="E87" s="337"/>
      <c r="F87" s="337"/>
      <c r="G87" s="337"/>
      <c r="H87" s="337"/>
    </row>
  </sheetData>
  <mergeCells count="11">
    <mergeCell ref="D4:D5"/>
    <mergeCell ref="E4:F5"/>
    <mergeCell ref="G4:G5"/>
    <mergeCell ref="H4:H5"/>
    <mergeCell ref="A1:G1"/>
    <mergeCell ref="A2:C2"/>
    <mergeCell ref="D2:H2"/>
    <mergeCell ref="A3:G3"/>
    <mergeCell ref="A4:A5"/>
    <mergeCell ref="B4:B5"/>
    <mergeCell ref="C4:C5"/>
  </mergeCells>
  <conditionalFormatting sqref="B6:B87">
    <cfRule type="expression" dxfId="7" priority="1">
      <formula>AND(NOT(ISBLANK(B6)), COUNTIF($B$1:$B87, "=" &amp; B6) &gt; 1)</formula>
    </cfRule>
  </conditionalFormatting>
  <hyperlinks>
    <hyperlink r:id="rId1" ref="H1"/>
  </hyperlin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hidden="1" min="1" max="2" width="4.71"/>
    <col customWidth="1" min="3" max="3" width="6.14"/>
    <col customWidth="1" min="4" max="4" width="23.57"/>
    <col customWidth="1" min="5" max="5" width="12.14"/>
    <col customWidth="1" min="6" max="6" width="7.86"/>
    <col customWidth="1" min="8" max="8" width="35.0"/>
    <col customWidth="1" min="9" max="11" width="8.14"/>
    <col customWidth="1" min="12" max="12" width="2.86"/>
    <col customWidth="1" hidden="1" min="13" max="13" width="4.71"/>
    <col customWidth="1" min="14" max="14" width="6.14"/>
    <col customWidth="1" min="15" max="15" width="23.57"/>
    <col customWidth="1" min="16" max="16" width="12.14"/>
    <col customWidth="1" min="17" max="17" width="7.86"/>
    <col customWidth="1" min="19" max="19" width="35.0"/>
    <col customWidth="1" min="20" max="23" width="8.14"/>
    <col customWidth="1" min="24" max="24" width="6.14"/>
    <col customWidth="1" min="25" max="25" width="23.57"/>
    <col customWidth="1" min="26" max="26" width="12.14"/>
    <col customWidth="1" min="27" max="27" width="7.86"/>
    <col customWidth="1" min="29" max="29" width="35.0"/>
    <col customWidth="1" min="30" max="33" width="8.14"/>
    <col customWidth="1" min="34" max="34" width="6.14"/>
    <col customWidth="1" min="35" max="35" width="23.57"/>
    <col customWidth="1" min="36" max="36" width="12.14"/>
    <col customWidth="1" min="37" max="37" width="7.86"/>
    <col customWidth="1" min="39" max="39" width="35.0"/>
    <col customWidth="1" min="40" max="42" width="8.14"/>
  </cols>
  <sheetData>
    <row r="1">
      <c r="A1" s="340" t="str">
        <f>IF(C2=3,A3,IF(C2=4,A4,IF(C2=5,A5,IF(C2=6,A6,IF(C2=7,A7,IF(C2=2,A2,IF(C2=1,A8,IF(C2=8,A9))))))))</f>
        <v>select BF</v>
      </c>
      <c r="B1" s="340"/>
      <c r="C1" s="287" t="s">
        <v>382</v>
      </c>
      <c r="E1" s="341">
        <v>3.0</v>
      </c>
      <c r="F1" s="342"/>
      <c r="G1" s="289" t="s">
        <v>383</v>
      </c>
      <c r="L1" s="340" t="str">
        <f>IF(N2=3,L3,IF(N2=4,L4,IF(N2=5,L5,IF(N2=6,L6,IF(N2=7,L7,IF(N2=2,L2,IF(N2=1,L8)))))))</f>
        <v>select BD</v>
      </c>
      <c r="M1" s="340"/>
      <c r="N1" s="287" t="s">
        <v>382</v>
      </c>
      <c r="P1" s="341">
        <v>4.0</v>
      </c>
      <c r="Q1" s="342"/>
      <c r="R1" s="289" t="s">
        <v>383</v>
      </c>
      <c r="W1" s="289"/>
      <c r="X1" s="287" t="s">
        <v>382</v>
      </c>
      <c r="Z1" s="341">
        <v>4.0</v>
      </c>
      <c r="AA1" s="342"/>
      <c r="AB1" s="289" t="s">
        <v>383</v>
      </c>
      <c r="AG1" s="289"/>
      <c r="AH1" s="287" t="s">
        <v>382</v>
      </c>
      <c r="AJ1" s="341">
        <v>1.0</v>
      </c>
      <c r="AK1" s="342"/>
      <c r="AL1" s="289" t="s">
        <v>383</v>
      </c>
    </row>
    <row r="2">
      <c r="A2" s="343" t="s">
        <v>384</v>
      </c>
      <c r="B2" s="344"/>
      <c r="C2" s="290">
        <v>2.0</v>
      </c>
      <c r="D2" s="130" t="s">
        <v>385</v>
      </c>
      <c r="E2" s="345" t="s">
        <v>376</v>
      </c>
      <c r="F2" s="280"/>
      <c r="G2" s="293"/>
      <c r="H2" s="346" t="str">
        <f>'Пр.хода'!Z3</f>
        <v>В.к.  71  кг</v>
      </c>
      <c r="I2" s="293"/>
      <c r="J2" s="347">
        <v>8.0</v>
      </c>
      <c r="K2" s="347">
        <f>'Пр.хода'!BC3</f>
        <v>29.5</v>
      </c>
      <c r="L2" s="344" t="s">
        <v>386</v>
      </c>
      <c r="M2" s="344"/>
      <c r="N2" s="290">
        <v>2.0</v>
      </c>
      <c r="O2" s="130" t="s">
        <v>385</v>
      </c>
      <c r="P2" s="345" t="s">
        <v>377</v>
      </c>
      <c r="Q2" s="280"/>
      <c r="R2" s="293"/>
      <c r="S2" s="346" t="str">
        <f>H2</f>
        <v>В.к.  71  кг</v>
      </c>
      <c r="T2" s="293"/>
      <c r="U2" s="293"/>
      <c r="V2" s="293"/>
      <c r="W2" s="293"/>
      <c r="X2" s="290">
        <f>N2</f>
        <v>2</v>
      </c>
      <c r="Y2" s="130" t="s">
        <v>385</v>
      </c>
      <c r="Z2" s="345" t="s">
        <v>377</v>
      </c>
      <c r="AA2" s="280"/>
      <c r="AB2" s="293"/>
      <c r="AC2" s="346" t="str">
        <f>H2</f>
        <v>В.к.  71  кг</v>
      </c>
      <c r="AD2" s="293"/>
      <c r="AE2" s="293"/>
      <c r="AF2" s="293"/>
      <c r="AG2" s="293"/>
      <c r="AH2" s="290">
        <v>4.0</v>
      </c>
      <c r="AI2" s="130" t="s">
        <v>385</v>
      </c>
      <c r="AJ2" s="345"/>
      <c r="AK2" s="280"/>
      <c r="AL2" s="293"/>
      <c r="AM2" s="346" t="str">
        <f>AC2</f>
        <v>В.к.  71  кг</v>
      </c>
      <c r="AN2" s="293"/>
      <c r="AO2" s="347"/>
      <c r="AP2" s="347"/>
    </row>
    <row r="3">
      <c r="A3" s="348" t="s">
        <v>387</v>
      </c>
      <c r="B3" s="348"/>
      <c r="C3" s="294" t="s">
        <v>9</v>
      </c>
      <c r="D3" s="295" t="s">
        <v>10</v>
      </c>
      <c r="E3" s="296" t="s">
        <v>388</v>
      </c>
      <c r="F3" s="296" t="s">
        <v>389</v>
      </c>
      <c r="G3" s="297"/>
      <c r="H3" s="295" t="s">
        <v>371</v>
      </c>
      <c r="I3" s="298" t="s">
        <v>372</v>
      </c>
      <c r="J3" s="295" t="s">
        <v>373</v>
      </c>
      <c r="K3" s="299" t="s">
        <v>374</v>
      </c>
      <c r="L3" s="348" t="s">
        <v>390</v>
      </c>
      <c r="M3" s="348"/>
      <c r="N3" s="294" t="s">
        <v>9</v>
      </c>
      <c r="O3" s="295" t="s">
        <v>10</v>
      </c>
      <c r="P3" s="296" t="s">
        <v>388</v>
      </c>
      <c r="Q3" s="296" t="s">
        <v>389</v>
      </c>
      <c r="R3" s="297"/>
      <c r="S3" s="295" t="s">
        <v>371</v>
      </c>
      <c r="T3" s="298" t="s">
        <v>372</v>
      </c>
      <c r="U3" s="295" t="s">
        <v>373</v>
      </c>
      <c r="V3" s="299" t="s">
        <v>374</v>
      </c>
      <c r="W3" s="349"/>
      <c r="X3" s="294" t="s">
        <v>9</v>
      </c>
      <c r="Y3" s="295" t="s">
        <v>10</v>
      </c>
      <c r="Z3" s="296" t="s">
        <v>388</v>
      </c>
      <c r="AA3" s="296" t="s">
        <v>389</v>
      </c>
      <c r="AB3" s="297"/>
      <c r="AC3" s="295" t="s">
        <v>371</v>
      </c>
      <c r="AD3" s="298" t="s">
        <v>372</v>
      </c>
      <c r="AE3" s="295" t="s">
        <v>373</v>
      </c>
      <c r="AF3" s="299" t="s">
        <v>374</v>
      </c>
      <c r="AG3" s="349"/>
      <c r="AH3" s="294" t="s">
        <v>9</v>
      </c>
      <c r="AI3" s="295" t="s">
        <v>10</v>
      </c>
      <c r="AJ3" s="296" t="s">
        <v>388</v>
      </c>
      <c r="AK3" s="296" t="s">
        <v>389</v>
      </c>
      <c r="AL3" s="297"/>
      <c r="AM3" s="295" t="s">
        <v>371</v>
      </c>
      <c r="AN3" s="298" t="s">
        <v>372</v>
      </c>
      <c r="AO3" s="295" t="s">
        <v>373</v>
      </c>
      <c r="AP3" s="299" t="s">
        <v>374</v>
      </c>
    </row>
    <row r="4" ht="12.75" customHeight="1">
      <c r="A4" s="348" t="s">
        <v>391</v>
      </c>
      <c r="B4" s="350"/>
      <c r="C4" s="257"/>
      <c r="D4" s="108"/>
      <c r="E4" s="107"/>
      <c r="F4" s="107"/>
      <c r="G4" s="106"/>
      <c r="H4" s="108"/>
      <c r="I4" s="107"/>
      <c r="J4" s="108"/>
      <c r="K4" s="300"/>
      <c r="L4" s="350" t="s">
        <v>387</v>
      </c>
      <c r="M4" s="350"/>
      <c r="N4" s="257"/>
      <c r="O4" s="108"/>
      <c r="P4" s="107"/>
      <c r="Q4" s="107"/>
      <c r="R4" s="106"/>
      <c r="S4" s="108"/>
      <c r="T4" s="107"/>
      <c r="U4" s="108"/>
      <c r="V4" s="300"/>
      <c r="W4" s="349"/>
      <c r="X4" s="257"/>
      <c r="Y4" s="108"/>
      <c r="Z4" s="107"/>
      <c r="AA4" s="107"/>
      <c r="AB4" s="106"/>
      <c r="AC4" s="108"/>
      <c r="AD4" s="107"/>
      <c r="AE4" s="108"/>
      <c r="AF4" s="300"/>
      <c r="AG4" s="349"/>
      <c r="AH4" s="257"/>
      <c r="AI4" s="108"/>
      <c r="AJ4" s="107"/>
      <c r="AK4" s="107"/>
      <c r="AL4" s="106"/>
      <c r="AM4" s="108"/>
      <c r="AN4" s="107"/>
      <c r="AO4" s="108"/>
      <c r="AP4" s="300"/>
    </row>
    <row r="5" ht="27.75" customHeight="1">
      <c r="A5" s="348" t="s">
        <v>392</v>
      </c>
      <c r="B5" s="351">
        <f t="shared" ref="B5:B75" si="1">IF(C5=0,(K$2+1),C5)</f>
        <v>1</v>
      </c>
      <c r="C5" s="352">
        <f>IFERROR(__xludf.DUMMYFUNCTION("QUERY('Пр.хода'!AY11:BH1000,A1)"),1.0)</f>
        <v>1</v>
      </c>
      <c r="D5" s="302" t="str">
        <f>IF(C5=0,"",(VLOOKUP($C5,'Пр.взв'!$D$6:$J$76,2,0)))</f>
        <v>ВОРОНЧИХИН  Ярослав</v>
      </c>
      <c r="E5" s="302" t="str">
        <f>IF(C5=0,"",(VLOOKUP($C5,'Пр.взв'!$D$6:$J$76,5,0)))</f>
        <v>КМС</v>
      </c>
      <c r="F5" s="302" t="str">
        <f>IF(C5=0,"",(VLOOKUP($C5,'Пр.взв'!$D$6:$M$76,6,0)))</f>
        <v>ДВФО</v>
      </c>
      <c r="G5" s="302" t="str">
        <f>IF(C5=0,"",(VLOOKUP($C5,'Пр.взв'!$D$6:$M$76,8,0)))</f>
        <v>Амурская</v>
      </c>
      <c r="H5" s="304" t="str">
        <f>IF(C5=0,"", IF(C6=0,"СВОБОДЕН",""))</f>
        <v/>
      </c>
      <c r="I5" s="304"/>
      <c r="J5" s="304"/>
      <c r="K5" s="305"/>
      <c r="L5" s="350" t="s">
        <v>391</v>
      </c>
      <c r="M5" s="353">
        <f>IFERROR(__xludf.DUMMYFUNCTION("FILTER(B5:H1000,B5:B1000&gt;K2)"),30.5)</f>
        <v>30.5</v>
      </c>
      <c r="N5" s="354">
        <f>IFERROR(__xludf.DUMMYFUNCTION("""COMPUTED_VALUE"""),0.0)</f>
        <v>0</v>
      </c>
      <c r="O5" s="302" t="str">
        <f>IFERROR(__xludf.DUMMYFUNCTION("""COMPUTED_VALUE"""),"")</f>
        <v/>
      </c>
      <c r="P5" s="302" t="str">
        <f>IFERROR(__xludf.DUMMYFUNCTION("""COMPUTED_VALUE"""),"")</f>
        <v/>
      </c>
      <c r="Q5" s="302" t="str">
        <f>IFERROR(__xludf.DUMMYFUNCTION("""COMPUTED_VALUE"""),"")</f>
        <v/>
      </c>
      <c r="R5" s="302" t="str">
        <f>IFERROR(__xludf.DUMMYFUNCTION("""COMPUTED_VALUE"""),"")</f>
        <v/>
      </c>
      <c r="S5" s="304"/>
      <c r="T5" s="304"/>
      <c r="U5" s="304"/>
      <c r="V5" s="305"/>
      <c r="W5" s="355"/>
      <c r="X5" s="354" t="str">
        <f>IFERROR(__xludf.DUMMYFUNCTION("IF(N5=0,QUERY(N6:S1000),QUERY(N5:S1000))"),"#REF!")</f>
        <v>#REF!</v>
      </c>
      <c r="Y5" s="302"/>
      <c r="Z5" s="302"/>
      <c r="AA5" s="302"/>
      <c r="AB5" s="302"/>
      <c r="AC5" s="304"/>
      <c r="AD5" s="304"/>
      <c r="AE5" s="304"/>
      <c r="AF5" s="305"/>
      <c r="AG5" s="355"/>
      <c r="AH5" s="352">
        <f>IFERROR(__xludf.DUMMYFUNCTION("QUERY('Пр.хода'!AY11:BG1000,A1)"),1.0)</f>
        <v>1</v>
      </c>
      <c r="AI5" s="302" t="str">
        <f>IF($AH5=0,"",(VLOOKUP($AH5,'Пр.взв'!$D$6:$J$71,2,0)))</f>
        <v>ВОРОНЧИХИН  Ярослав</v>
      </c>
      <c r="AJ5" s="302" t="str">
        <f>IF($AH5=0,"",(VLOOKUP($AH5,'Пр.взв'!$D$6:$J$71,5,0)))</f>
        <v>КМС</v>
      </c>
      <c r="AK5" s="302" t="str">
        <f>IF($AH5=0,"",(VLOOKUP($AH5,'Пр.взв'!$D$6:$J$71,6,0)))</f>
        <v>ДВФО</v>
      </c>
      <c r="AL5" s="302" t="str">
        <f>IF($AH5=0,"",(VLOOKUP($AH5,'Пр.взв'!$D$6:$M$71,8,0)))</f>
        <v>Амурская</v>
      </c>
      <c r="AM5" s="302"/>
      <c r="AN5" s="304"/>
      <c r="AO5" s="304"/>
      <c r="AP5" s="305"/>
    </row>
    <row r="6" ht="27.75" customHeight="1">
      <c r="A6" s="348" t="s">
        <v>393</v>
      </c>
      <c r="B6" s="351">
        <f t="shared" si="1"/>
        <v>3</v>
      </c>
      <c r="C6" s="356">
        <f>IFERROR(__xludf.DUMMYFUNCTION("""COMPUTED_VALUE"""),3.0)</f>
        <v>3</v>
      </c>
      <c r="D6" s="307" t="str">
        <f>IF(C6=0,"",(VLOOKUP($C6,'Пр.взв'!$D$6:$J$76,2,0)))</f>
        <v> ЛАТЫНЦЕВ Родион</v>
      </c>
      <c r="E6" s="307" t="str">
        <f>IF(C6=0,"",(VLOOKUP($C6,'Пр.взв'!$D$6:$J$76,5,0)))</f>
        <v>КМС</v>
      </c>
      <c r="F6" s="307" t="str">
        <f>IF(C6=0,"",(VLOOKUP($C6,'Пр.взв'!$D$6:$M$76,6,0)))</f>
        <v>СЗФО</v>
      </c>
      <c r="G6" s="307" t="str">
        <f>IF(C6=0,"",(VLOOKUP($C6,'Пр.взв'!$D$6:$M$76,8,0)))</f>
        <v>Калининградская</v>
      </c>
      <c r="H6" s="309"/>
      <c r="I6" s="309"/>
      <c r="J6" s="309"/>
      <c r="K6" s="310"/>
      <c r="L6" s="350" t="s">
        <v>392</v>
      </c>
      <c r="M6" s="357">
        <f>IFERROR(__xludf.DUMMYFUNCTION("""COMPUTED_VALUE"""),30.0)</f>
        <v>30</v>
      </c>
      <c r="N6" s="358">
        <f>IFERROR(__xludf.DUMMYFUNCTION("""COMPUTED_VALUE"""),30.0)</f>
        <v>30</v>
      </c>
      <c r="O6" s="307" t="str">
        <f>IFERROR(__xludf.DUMMYFUNCTION("""COMPUTED_VALUE"""),"ШАМШИН Егор")</f>
        <v>ШАМШИН Егор</v>
      </c>
      <c r="P6" s="307" t="str">
        <f>IFERROR(__xludf.DUMMYFUNCTION("""COMPUTED_VALUE"""),"КМС")</f>
        <v>КМС</v>
      </c>
      <c r="Q6" s="307" t="str">
        <f>IFERROR(__xludf.DUMMYFUNCTION("""COMPUTED_VALUE"""),"ПФО")</f>
        <v>ПФО</v>
      </c>
      <c r="R6" s="307" t="str">
        <f>IFERROR(__xludf.DUMMYFUNCTION("""COMPUTED_VALUE"""),"Нижегородская")</f>
        <v>Нижегородская</v>
      </c>
      <c r="S6" s="309" t="str">
        <f>IFERROR(__xludf.DUMMYFUNCTION("""COMPUTED_VALUE"""),"")</f>
        <v/>
      </c>
      <c r="T6" s="309"/>
      <c r="U6" s="309"/>
      <c r="V6" s="310"/>
      <c r="W6" s="355"/>
      <c r="X6" s="358"/>
      <c r="Y6" s="307"/>
      <c r="Z6" s="307"/>
      <c r="AA6" s="307"/>
      <c r="AB6" s="307"/>
      <c r="AC6" s="309"/>
      <c r="AD6" s="309"/>
      <c r="AE6" s="309"/>
      <c r="AF6" s="310"/>
      <c r="AG6" s="355"/>
      <c r="AH6" s="356">
        <f>IFERROR(__xludf.DUMMYFUNCTION("""COMPUTED_VALUE"""),3.0)</f>
        <v>3</v>
      </c>
      <c r="AI6" s="307" t="str">
        <f>IF($AH6=0,"",(VLOOKUP($AH6,'Пр.взв'!$D$6:$J$71,2,0)))</f>
        <v> ЛАТЫНЦЕВ Родион</v>
      </c>
      <c r="AJ6" s="307" t="str">
        <f>IF($AH6=0,"",(VLOOKUP($AH6,'Пр.взв'!$D$6:$J$71,5,0)))</f>
        <v>КМС</v>
      </c>
      <c r="AK6" s="307" t="str">
        <f>IF($AH6=0,"",(VLOOKUP($AH6,'Пр.взв'!$D$6:$J$71,6,0)))</f>
        <v>СЗФО</v>
      </c>
      <c r="AL6" s="307" t="str">
        <f>IF($AH6=0,"",(VLOOKUP($AH6,'Пр.взв'!$D$6:$M$71,8,0)))</f>
        <v>Калининградская</v>
      </c>
      <c r="AM6" s="309"/>
      <c r="AN6" s="309"/>
      <c r="AO6" s="309"/>
      <c r="AP6" s="310"/>
    </row>
    <row r="7" ht="27.75" customHeight="1">
      <c r="A7" s="348" t="s">
        <v>394</v>
      </c>
      <c r="B7" s="351">
        <f t="shared" si="1"/>
        <v>2</v>
      </c>
      <c r="C7" s="352">
        <f>IFERROR(__xludf.DUMMYFUNCTION("""COMPUTED_VALUE"""),2.0)</f>
        <v>2</v>
      </c>
      <c r="D7" s="302" t="str">
        <f>IF(C7=0,"",(VLOOKUP($C7,'Пр.взв'!$D$6:$J$76,2,0)))</f>
        <v>ЖАЛИЛОВ Даниил</v>
      </c>
      <c r="E7" s="302" t="str">
        <f>IF(C7=0,"",(VLOOKUP($C7,'Пр.взв'!$D$6:$J$76,5,0)))</f>
        <v>КМС</v>
      </c>
      <c r="F7" s="302" t="str">
        <f>IF(C7=0,"",(VLOOKUP($C7,'Пр.взв'!$D$6:$M$76,6,0)))</f>
        <v>ПФО</v>
      </c>
      <c r="G7" s="302" t="str">
        <f>IF(C7=0,"",(VLOOKUP($C7,'Пр.взв'!$D$6:$M$76,8,0)))</f>
        <v>Нижегородская</v>
      </c>
      <c r="H7" s="304" t="str">
        <f>IF(C7=0,"", IF(C8=0,"СВОБОДЕН",""))</f>
        <v/>
      </c>
      <c r="I7" s="304"/>
      <c r="J7" s="304"/>
      <c r="K7" s="305"/>
      <c r="L7" s="350" t="s">
        <v>393</v>
      </c>
      <c r="M7" s="357">
        <f>IFERROR(__xludf.DUMMYFUNCTION("""COMPUTED_VALUE"""),32.0)</f>
        <v>32</v>
      </c>
      <c r="N7" s="359">
        <f>IFERROR(__xludf.DUMMYFUNCTION("""COMPUTED_VALUE"""),32.0)</f>
        <v>32</v>
      </c>
      <c r="O7" s="302" t="str">
        <f>IFERROR(__xludf.DUMMYFUNCTION("""COMPUTED_VALUE"""),"АКСЕНОВ Артем")</f>
        <v>АКСЕНОВ Артем</v>
      </c>
      <c r="P7" s="302" t="str">
        <f>IFERROR(__xludf.DUMMYFUNCTION("""COMPUTED_VALUE"""),"КМС")</f>
        <v>КМС</v>
      </c>
      <c r="Q7" s="302" t="str">
        <f>IFERROR(__xludf.DUMMYFUNCTION("""COMPUTED_VALUE"""),"СЗФО")</f>
        <v>СЗФО</v>
      </c>
      <c r="R7" s="302" t="str">
        <f>IFERROR(__xludf.DUMMYFUNCTION("""COMPUTED_VALUE"""),"Калининградская")</f>
        <v>Калининградская</v>
      </c>
      <c r="S7" s="304"/>
      <c r="T7" s="304"/>
      <c r="U7" s="304"/>
      <c r="V7" s="305"/>
      <c r="W7" s="355"/>
      <c r="X7" s="359"/>
      <c r="Y7" s="302"/>
      <c r="Z7" s="302"/>
      <c r="AA7" s="302"/>
      <c r="AB7" s="302"/>
      <c r="AC7" s="304"/>
      <c r="AD7" s="304"/>
      <c r="AE7" s="304"/>
      <c r="AF7" s="305"/>
      <c r="AG7" s="355"/>
      <c r="AH7" s="352">
        <f>IFERROR(__xludf.DUMMYFUNCTION("""COMPUTED_VALUE"""),2.0)</f>
        <v>2</v>
      </c>
      <c r="AI7" s="302" t="str">
        <f>IF($AH7=0,"",(VLOOKUP($AH7,'Пр.взв'!$D$6:$J$71,2,0)))</f>
        <v>ЖАЛИЛОВ Даниил</v>
      </c>
      <c r="AJ7" s="302" t="str">
        <f>IF($AH7=0,"",(VLOOKUP($AH7,'Пр.взв'!$D$6:$J$71,5,0)))</f>
        <v>КМС</v>
      </c>
      <c r="AK7" s="302" t="str">
        <f>IF($AH7=0,"",(VLOOKUP($AH7,'Пр.взв'!$D$6:$J$71,6,0)))</f>
        <v>ПФО</v>
      </c>
      <c r="AL7" s="302" t="str">
        <f>IF($AH7=0,"",(VLOOKUP($AH7,'Пр.взв'!$D$6:$M$71,8,0)))</f>
        <v>Нижегородская</v>
      </c>
      <c r="AM7" s="304" t="str">
        <f>IF(AH7=0,"", IF(AH8=0,"СВОБОДЕН",""))</f>
        <v/>
      </c>
      <c r="AN7" s="304"/>
      <c r="AO7" s="304"/>
      <c r="AP7" s="305"/>
    </row>
    <row r="8" ht="27.75" customHeight="1">
      <c r="A8" s="348" t="s">
        <v>386</v>
      </c>
      <c r="B8" s="351">
        <f t="shared" si="1"/>
        <v>4</v>
      </c>
      <c r="C8" s="356">
        <f>IFERROR(__xludf.DUMMYFUNCTION("""COMPUTED_VALUE"""),4.0)</f>
        <v>4</v>
      </c>
      <c r="D8" s="307" t="str">
        <f>IF(C8=0,"",(VLOOKUP($C8,'Пр.взв'!$D$6:$J$76,2,0)))</f>
        <v>ОСМАНОВ  Анар</v>
      </c>
      <c r="E8" s="307" t="str">
        <f>IF(C8=0,"",(VLOOKUP($C8,'Пр.взв'!$D$6:$J$76,5,0)))</f>
        <v>КМС</v>
      </c>
      <c r="F8" s="307" t="str">
        <f>IF(C8=0,"",(VLOOKUP($C8,'Пр.взв'!$D$6:$M$76,6,0)))</f>
        <v>УФО</v>
      </c>
      <c r="G8" s="307" t="str">
        <f>IF(C8=0,"",(VLOOKUP($C8,'Пр.взв'!$D$6:$M$76,8,0)))</f>
        <v>Свердловская</v>
      </c>
      <c r="H8" s="309"/>
      <c r="I8" s="309"/>
      <c r="J8" s="309"/>
      <c r="K8" s="310"/>
      <c r="L8" s="350" t="s">
        <v>395</v>
      </c>
      <c r="M8" s="357">
        <f>IFERROR(__xludf.DUMMYFUNCTION("""COMPUTED_VALUE"""),31.0)</f>
        <v>31</v>
      </c>
      <c r="N8" s="358">
        <f>IFERROR(__xludf.DUMMYFUNCTION("""COMPUTED_VALUE"""),31.0)</f>
        <v>31</v>
      </c>
      <c r="O8" s="307" t="str">
        <f>IFERROR(__xludf.DUMMYFUNCTION("""COMPUTED_VALUE"""),"АБРОСИМОВ  Данила ")</f>
        <v>АБРОСИМОВ  Данила </v>
      </c>
      <c r="P8" s="307" t="str">
        <f>IFERROR(__xludf.DUMMYFUNCTION("""COMPUTED_VALUE"""),"КМС")</f>
        <v>КМС</v>
      </c>
      <c r="Q8" s="307" t="str">
        <f>IFERROR(__xludf.DUMMYFUNCTION("""COMPUTED_VALUE"""),"ЦФО")</f>
        <v>ЦФО</v>
      </c>
      <c r="R8" s="307" t="str">
        <f>IFERROR(__xludf.DUMMYFUNCTION("""COMPUTED_VALUE"""),"Рязанская")</f>
        <v>Рязанская</v>
      </c>
      <c r="S8" s="309" t="str">
        <f>IFERROR(__xludf.DUMMYFUNCTION("""COMPUTED_VALUE"""),"")</f>
        <v/>
      </c>
      <c r="T8" s="309"/>
      <c r="U8" s="309"/>
      <c r="V8" s="310"/>
      <c r="W8" s="355"/>
      <c r="X8" s="358"/>
      <c r="Y8" s="307"/>
      <c r="Z8" s="307"/>
      <c r="AA8" s="307"/>
      <c r="AB8" s="307"/>
      <c r="AC8" s="309"/>
      <c r="AD8" s="309"/>
      <c r="AE8" s="309"/>
      <c r="AF8" s="310"/>
      <c r="AG8" s="355"/>
      <c r="AH8" s="356">
        <f>IFERROR(__xludf.DUMMYFUNCTION("""COMPUTED_VALUE"""),4.0)</f>
        <v>4</v>
      </c>
      <c r="AI8" s="307" t="str">
        <f>IF($AH8=0,"",(VLOOKUP($AH8,'Пр.взв'!$D$6:$J$71,2,0)))</f>
        <v>ОСМАНОВ  Анар</v>
      </c>
      <c r="AJ8" s="307" t="str">
        <f>IF($AH8=0,"",(VLOOKUP($AH8,'Пр.взв'!$D$6:$J$71,5,0)))</f>
        <v>КМС</v>
      </c>
      <c r="AK8" s="307" t="str">
        <f>IF($AH8=0,"",(VLOOKUP($AH8,'Пр.взв'!$D$6:$J$71,6,0)))</f>
        <v>УФО</v>
      </c>
      <c r="AL8" s="307" t="str">
        <f>IF($AH8=0,"",(VLOOKUP($AH8,'Пр.взв'!$D$6:$M$71,8,0)))</f>
        <v>Свердловская</v>
      </c>
      <c r="AM8" s="309"/>
      <c r="AN8" s="309"/>
      <c r="AO8" s="309"/>
      <c r="AP8" s="310"/>
    </row>
    <row r="9" ht="27.75" customHeight="1">
      <c r="A9" s="348" t="s">
        <v>396</v>
      </c>
      <c r="B9" s="351">
        <f t="shared" si="1"/>
        <v>5</v>
      </c>
      <c r="C9" s="352">
        <f>IFERROR(__xludf.DUMMYFUNCTION("""COMPUTED_VALUE"""),5.0)</f>
        <v>5</v>
      </c>
      <c r="D9" s="302" t="str">
        <f>IF(C9=0,"",(VLOOKUP($C9,'Пр.взв'!$D$6:$J$76,2,0)))</f>
        <v>ЗАЙЦЕВ  Кирилл </v>
      </c>
      <c r="E9" s="302" t="str">
        <f>IF(C9=0,"",(VLOOKUP($C9,'Пр.взв'!$D$6:$J$76,5,0)))</f>
        <v>КМС</v>
      </c>
      <c r="F9" s="302" t="str">
        <f>IF(C9=0,"",(VLOOKUP($C9,'Пр.взв'!$D$6:$M$76,6,0)))</f>
        <v>СФО</v>
      </c>
      <c r="G9" s="302" t="str">
        <f>IF(C9=0,"",(VLOOKUP($C9,'Пр.взв'!$D$6:$M$76,8,0)))</f>
        <v>Красноярский</v>
      </c>
      <c r="H9" s="304" t="str">
        <f>IF(C9=0,"", IF(C10=0,"СВОБОДЕН",""))</f>
        <v/>
      </c>
      <c r="I9" s="304"/>
      <c r="J9" s="304"/>
      <c r="K9" s="305"/>
      <c r="L9" s="74"/>
      <c r="M9" s="314">
        <f>IFERROR(__xludf.DUMMYFUNCTION("""COMPUTED_VALUE"""),33.0)</f>
        <v>33</v>
      </c>
      <c r="N9" s="352">
        <f>IFERROR(__xludf.DUMMYFUNCTION("""COMPUTED_VALUE"""),33.0)</f>
        <v>33</v>
      </c>
      <c r="O9" s="302" t="str">
        <f>IFERROR(__xludf.DUMMYFUNCTION("""COMPUTED_VALUE"""),"АБДУЛМЕДЖИДОВ Ахмед ")</f>
        <v>АБДУЛМЕДЖИДОВ Ахмед </v>
      </c>
      <c r="P9" s="302" t="str">
        <f>IFERROR(__xludf.DUMMYFUNCTION("""COMPUTED_VALUE"""),"КМС")</f>
        <v>КМС</v>
      </c>
      <c r="Q9" s="302" t="str">
        <f>IFERROR(__xludf.DUMMYFUNCTION("""COMPUTED_VALUE"""),"МОС")</f>
        <v>МОС</v>
      </c>
      <c r="R9" s="302" t="str">
        <f>IFERROR(__xludf.DUMMYFUNCTION("""COMPUTED_VALUE"""),"Москва")</f>
        <v>Москва</v>
      </c>
      <c r="S9" s="304"/>
      <c r="T9" s="304"/>
      <c r="U9" s="304"/>
      <c r="V9" s="305"/>
      <c r="W9" s="355"/>
      <c r="X9" s="352"/>
      <c r="Y9" s="302"/>
      <c r="Z9" s="302"/>
      <c r="AA9" s="302"/>
      <c r="AB9" s="302"/>
      <c r="AC9" s="304"/>
      <c r="AD9" s="304"/>
      <c r="AE9" s="304"/>
      <c r="AF9" s="305"/>
      <c r="AG9" s="355"/>
      <c r="AH9" s="352">
        <f>IFERROR(__xludf.DUMMYFUNCTION("""COMPUTED_VALUE"""),5.0)</f>
        <v>5</v>
      </c>
      <c r="AI9" s="302" t="str">
        <f>IF($AH9=0,"",(VLOOKUP($AH9,'Пр.взв'!$D$6:$J$71,2,0)))</f>
        <v>ЗАЙЦЕВ  Кирилл </v>
      </c>
      <c r="AJ9" s="302" t="str">
        <f>IF($AH9=0,"",(VLOOKUP($AH9,'Пр.взв'!$D$6:$J$71,5,0)))</f>
        <v>КМС</v>
      </c>
      <c r="AK9" s="302" t="str">
        <f>IF($AH9=0,"",(VLOOKUP($AH9,'Пр.взв'!$D$6:$J$71,6,0)))</f>
        <v>СФО</v>
      </c>
      <c r="AL9" s="302" t="str">
        <f>IF($AH9=0,"",(VLOOKUP($AH9,'Пр.взв'!$D$6:$M$71,8,0)))</f>
        <v>Красноярский</v>
      </c>
      <c r="AM9" s="304" t="str">
        <f>IF(AH9=0,"", IF(AH10=0,"СВОБОДЕН",""))</f>
        <v/>
      </c>
      <c r="AN9" s="304"/>
      <c r="AO9" s="304"/>
      <c r="AP9" s="305"/>
    </row>
    <row r="10" ht="27.75" customHeight="1">
      <c r="A10" s="360" t="s">
        <v>396</v>
      </c>
      <c r="B10" s="351">
        <f t="shared" si="1"/>
        <v>7</v>
      </c>
      <c r="C10" s="356">
        <f>IFERROR(__xludf.DUMMYFUNCTION("""COMPUTED_VALUE"""),7.0)</f>
        <v>7</v>
      </c>
      <c r="D10" s="307" t="str">
        <f>IF(C10=0,"",(VLOOKUP($C10,'Пр.взв'!$D$6:$J$76,2,0)))</f>
        <v>ЧЕРНОПЯТОВ  Иван </v>
      </c>
      <c r="E10" s="307" t="str">
        <f>IF(C10=0,"",(VLOOKUP($C10,'Пр.взв'!$D$6:$J$76,5,0)))</f>
        <v>КМС</v>
      </c>
      <c r="F10" s="307" t="str">
        <f>IF(C10=0,"",(VLOOKUP($C10,'Пр.взв'!$D$6:$M$76,6,0)))</f>
        <v>ЦФО</v>
      </c>
      <c r="G10" s="307" t="str">
        <f>IF(C10=0,"",(VLOOKUP($C10,'Пр.взв'!$D$6:$M$76,8,0)))</f>
        <v>Тульская</v>
      </c>
      <c r="H10" s="309"/>
      <c r="I10" s="309"/>
      <c r="J10" s="309"/>
      <c r="K10" s="310"/>
      <c r="L10" s="74"/>
      <c r="M10" s="314">
        <f>IFERROR(__xludf.DUMMYFUNCTION("""COMPUTED_VALUE"""),34.0)</f>
        <v>34</v>
      </c>
      <c r="N10" s="356">
        <f>IFERROR(__xludf.DUMMYFUNCTION("""COMPUTED_VALUE"""),34.0)</f>
        <v>34</v>
      </c>
      <c r="O10" s="307" t="str">
        <f>IFERROR(__xludf.DUMMYFUNCTION("""COMPUTED_VALUE"""),"ГУЦУЛ Владислав ")</f>
        <v>ГУЦУЛ Владислав </v>
      </c>
      <c r="P10" s="307" t="str">
        <f>IFERROR(__xludf.DUMMYFUNCTION("""COMPUTED_VALUE"""),"КМС")</f>
        <v>КМС</v>
      </c>
      <c r="Q10" s="307" t="str">
        <f>IFERROR(__xludf.DUMMYFUNCTION("""COMPUTED_VALUE"""),"ЦФО")</f>
        <v>ЦФО</v>
      </c>
      <c r="R10" s="307" t="str">
        <f>IFERROR(__xludf.DUMMYFUNCTION("""COMPUTED_VALUE"""),"Ярославская")</f>
        <v>Ярославская</v>
      </c>
      <c r="S10" s="309" t="str">
        <f>IFERROR(__xludf.DUMMYFUNCTION("""COMPUTED_VALUE"""),"")</f>
        <v/>
      </c>
      <c r="T10" s="309"/>
      <c r="U10" s="309"/>
      <c r="V10" s="310"/>
      <c r="W10" s="355"/>
      <c r="X10" s="356"/>
      <c r="Y10" s="307"/>
      <c r="Z10" s="307"/>
      <c r="AA10" s="307"/>
      <c r="AB10" s="307"/>
      <c r="AC10" s="309"/>
      <c r="AD10" s="309"/>
      <c r="AE10" s="309"/>
      <c r="AF10" s="310"/>
      <c r="AG10" s="355"/>
      <c r="AH10" s="356">
        <f>IFERROR(__xludf.DUMMYFUNCTION("""COMPUTED_VALUE"""),7.0)</f>
        <v>7</v>
      </c>
      <c r="AI10" s="307" t="str">
        <f>IF($AH10=0,"",(VLOOKUP($AH10,'Пр.взв'!$D$6:$J$71,2,0)))</f>
        <v>ЧЕРНОПЯТОВ  Иван </v>
      </c>
      <c r="AJ10" s="307" t="str">
        <f>IF($AH10=0,"",(VLOOKUP($AH10,'Пр.взв'!$D$6:$J$71,5,0)))</f>
        <v>КМС</v>
      </c>
      <c r="AK10" s="307" t="str">
        <f>IF($AH10=0,"",(VLOOKUP($AH10,'Пр.взв'!$D$6:$J$71,6,0)))</f>
        <v>ЦФО</v>
      </c>
      <c r="AL10" s="307" t="str">
        <f>IF($AH10=0,"",(VLOOKUP($AH10,'Пр.взв'!$D$6:$M$71,8,0)))</f>
        <v>Тульская</v>
      </c>
      <c r="AM10" s="309"/>
      <c r="AN10" s="309"/>
      <c r="AO10" s="309"/>
      <c r="AP10" s="310"/>
    </row>
    <row r="11" ht="27.75" customHeight="1">
      <c r="A11" s="361">
        <v>7.0</v>
      </c>
      <c r="B11" s="351">
        <f t="shared" si="1"/>
        <v>6</v>
      </c>
      <c r="C11" s="352">
        <f>IFERROR(__xludf.DUMMYFUNCTION("""COMPUTED_VALUE"""),6.0)</f>
        <v>6</v>
      </c>
      <c r="D11" s="302" t="str">
        <f>IF(C11=0,"",(VLOOKUP($C11,'Пр.взв'!$D$6:$J$76,2,0)))</f>
        <v>САМОСУДОВ  Руслан </v>
      </c>
      <c r="E11" s="302" t="str">
        <f>IF(C11=0,"",(VLOOKUP($C11,'Пр.взв'!$D$6:$J$76,5,0)))</f>
        <v>КМС</v>
      </c>
      <c r="F11" s="302" t="str">
        <f>IF(C11=0,"",(VLOOKUP($C11,'Пр.взв'!$D$6:$M$76,6,0)))</f>
        <v>СЗФО</v>
      </c>
      <c r="G11" s="302" t="str">
        <f>IF(C11=0,"",(VLOOKUP($C11,'Пр.взв'!$D$6:$M$76,8,0)))</f>
        <v>Калининградская</v>
      </c>
      <c r="H11" s="304" t="str">
        <f>IF(C11=0,"", IF(C12=0,"СВОБОДЕН",""))</f>
        <v/>
      </c>
      <c r="I11" s="304"/>
      <c r="J11" s="304"/>
      <c r="K11" s="305"/>
      <c r="L11" s="361"/>
      <c r="M11" s="362">
        <f>IFERROR(__xludf.DUMMYFUNCTION("""COMPUTED_VALUE"""),36.0)</f>
        <v>36</v>
      </c>
      <c r="N11" s="352">
        <f>IFERROR(__xludf.DUMMYFUNCTION("""COMPUTED_VALUE"""),36.0)</f>
        <v>36</v>
      </c>
      <c r="O11" s="302" t="str">
        <f>IFERROR(__xludf.DUMMYFUNCTION("""COMPUTED_VALUE"""),"ТРУБНИКОВ  Денис ")</f>
        <v>ТРУБНИКОВ  Денис </v>
      </c>
      <c r="P11" s="302" t="str">
        <f>IFERROR(__xludf.DUMMYFUNCTION("""COMPUTED_VALUE"""),"2р")</f>
        <v>2р</v>
      </c>
      <c r="Q11" s="302" t="str">
        <f>IFERROR(__xludf.DUMMYFUNCTION("""COMPUTED_VALUE"""),"УФО")</f>
        <v>УФО</v>
      </c>
      <c r="R11" s="302" t="str">
        <f>IFERROR(__xludf.DUMMYFUNCTION("""COMPUTED_VALUE"""),"Свердловская")</f>
        <v>Свердловская</v>
      </c>
      <c r="S11" s="304"/>
      <c r="T11" s="304"/>
      <c r="U11" s="304"/>
      <c r="V11" s="305"/>
      <c r="W11" s="355"/>
      <c r="X11" s="352"/>
      <c r="Y11" s="302"/>
      <c r="Z11" s="302"/>
      <c r="AA11" s="302"/>
      <c r="AB11" s="302"/>
      <c r="AC11" s="304"/>
      <c r="AD11" s="304"/>
      <c r="AE11" s="304"/>
      <c r="AF11" s="305"/>
      <c r="AG11" s="355"/>
      <c r="AH11" s="352">
        <f>IFERROR(__xludf.DUMMYFUNCTION("""COMPUTED_VALUE"""),6.0)</f>
        <v>6</v>
      </c>
      <c r="AI11" s="302" t="str">
        <f>IF($AH11=0,"",(VLOOKUP($AH11,'Пр.взв'!$D$6:$J$71,2,0)))</f>
        <v>САМОСУДОВ  Руслан </v>
      </c>
      <c r="AJ11" s="302" t="str">
        <f>IF($AH11=0,"",(VLOOKUP($AH11,'Пр.взв'!$D$6:$J$71,5,0)))</f>
        <v>КМС</v>
      </c>
      <c r="AK11" s="302" t="str">
        <f>IF($AH11=0,"",(VLOOKUP($AH11,'Пр.взв'!$D$6:$J$71,6,0)))</f>
        <v>СЗФО</v>
      </c>
      <c r="AL11" s="302" t="str">
        <f>IF($AH11=0,"",(VLOOKUP($AH11,'Пр.взв'!$D$6:$M$71,8,0)))</f>
        <v>Калининградская</v>
      </c>
      <c r="AM11" s="304" t="str">
        <f>IF(AH11=0,"", IF(AH12=0,"СВОБОДЕН",""))</f>
        <v/>
      </c>
      <c r="AN11" s="304"/>
      <c r="AO11" s="304"/>
      <c r="AP11" s="305"/>
    </row>
    <row r="12" ht="27.75" customHeight="1">
      <c r="A12" s="361">
        <v>8.0</v>
      </c>
      <c r="B12" s="351">
        <f t="shared" si="1"/>
        <v>8</v>
      </c>
      <c r="C12" s="356">
        <f>IFERROR(__xludf.DUMMYFUNCTION("""COMPUTED_VALUE"""),8.0)</f>
        <v>8</v>
      </c>
      <c r="D12" s="307" t="str">
        <f>IF(C12=0,"",(VLOOKUP($C12,'Пр.взв'!$D$6:$J$76,2,0)))</f>
        <v>ОСИПОВ Дмитрий</v>
      </c>
      <c r="E12" s="307" t="str">
        <f>IF(C12=0,"",(VLOOKUP($C12,'Пр.взв'!$D$6:$J$76,5,0)))</f>
        <v>КМС</v>
      </c>
      <c r="F12" s="307" t="str">
        <f>IF(C12=0,"",(VLOOKUP($C12,'Пр.взв'!$D$6:$M$76,6,0)))</f>
        <v>МОС</v>
      </c>
      <c r="G12" s="307" t="str">
        <f>IF(C12=0,"",(VLOOKUP($C12,'Пр.взв'!$D$6:$M$76,8,0)))</f>
        <v>Москва</v>
      </c>
      <c r="H12" s="309"/>
      <c r="I12" s="309"/>
      <c r="J12" s="309"/>
      <c r="K12" s="310"/>
      <c r="L12" s="361"/>
      <c r="M12" s="362">
        <f>IFERROR(__xludf.DUMMYFUNCTION("""COMPUTED_VALUE"""),35.0)</f>
        <v>35</v>
      </c>
      <c r="N12" s="356">
        <f>IFERROR(__xludf.DUMMYFUNCTION("""COMPUTED_VALUE"""),35.0)</f>
        <v>35</v>
      </c>
      <c r="O12" s="307" t="str">
        <f>IFERROR(__xludf.DUMMYFUNCTION("""COMPUTED_VALUE"""),"ИГНАТЕНКО Егор")</f>
        <v>ИГНАТЕНКО Егор</v>
      </c>
      <c r="P12" s="307" t="str">
        <f>IFERROR(__xludf.DUMMYFUNCTION("""COMPUTED_VALUE"""),"1р")</f>
        <v>1р</v>
      </c>
      <c r="Q12" s="307" t="str">
        <f>IFERROR(__xludf.DUMMYFUNCTION("""COMPUTED_VALUE"""),"ДВФО")</f>
        <v>ДВФО</v>
      </c>
      <c r="R12" s="307" t="str">
        <f>IFERROR(__xludf.DUMMYFUNCTION("""COMPUTED_VALUE"""),"Амурская")</f>
        <v>Амурская</v>
      </c>
      <c r="S12" s="309" t="str">
        <f>IFERROR(__xludf.DUMMYFUNCTION("""COMPUTED_VALUE"""),"")</f>
        <v/>
      </c>
      <c r="T12" s="309"/>
      <c r="U12" s="309"/>
      <c r="V12" s="310"/>
      <c r="W12" s="355"/>
      <c r="X12" s="356"/>
      <c r="Y12" s="307"/>
      <c r="Z12" s="307"/>
      <c r="AA12" s="307"/>
      <c r="AB12" s="307"/>
      <c r="AC12" s="309"/>
      <c r="AD12" s="309"/>
      <c r="AE12" s="309"/>
      <c r="AF12" s="310"/>
      <c r="AG12" s="355"/>
      <c r="AH12" s="356">
        <f>IFERROR(__xludf.DUMMYFUNCTION("""COMPUTED_VALUE"""),8.0)</f>
        <v>8</v>
      </c>
      <c r="AI12" s="307" t="str">
        <f>IF($AH12=0,"",(VLOOKUP($AH12,'Пр.взв'!$D$6:$J$71,2,0)))</f>
        <v>ОСИПОВ Дмитрий</v>
      </c>
      <c r="AJ12" s="307" t="str">
        <f>IF($AH12=0,"",(VLOOKUP($AH12,'Пр.взв'!$D$6:$J$71,5,0)))</f>
        <v>КМС</v>
      </c>
      <c r="AK12" s="307" t="str">
        <f>IF($AH12=0,"",(VLOOKUP($AH12,'Пр.взв'!$D$6:$J$71,6,0)))</f>
        <v>МОС</v>
      </c>
      <c r="AL12" s="307" t="str">
        <f>IF($AH12=0,"",(VLOOKUP($AH12,'Пр.взв'!$D$6:$M$71,8,0)))</f>
        <v>Москва</v>
      </c>
      <c r="AM12" s="309"/>
      <c r="AN12" s="309"/>
      <c r="AO12" s="309"/>
      <c r="AP12" s="310"/>
    </row>
    <row r="13" ht="27.75" customHeight="1">
      <c r="A13" s="361">
        <v>9.0</v>
      </c>
      <c r="B13" s="351">
        <f t="shared" si="1"/>
        <v>9</v>
      </c>
      <c r="C13" s="352">
        <f>IFERROR(__xludf.DUMMYFUNCTION("""COMPUTED_VALUE"""),9.0)</f>
        <v>9</v>
      </c>
      <c r="D13" s="302" t="str">
        <f>IF(C13=0,"",(VLOOKUP($C13,'Пр.взв'!$D$6:$J$76,2,0)))</f>
        <v>ГАДЖИКЕРИМОВ  Ислам</v>
      </c>
      <c r="E13" s="302" t="str">
        <f>IF(C13=0,"",(VLOOKUP($C13,'Пр.взв'!$D$6:$J$76,5,0)))</f>
        <v>КМС</v>
      </c>
      <c r="F13" s="302" t="str">
        <f>IF(C13=0,"",(VLOOKUP($C13,'Пр.взв'!$D$6:$M$76,6,0)))</f>
        <v>СКФО</v>
      </c>
      <c r="G13" s="302" t="str">
        <f>IF(C13=0,"",(VLOOKUP($C13,'Пр.взв'!$D$6:$M$76,8,0)))</f>
        <v>Р.Дагестан</v>
      </c>
      <c r="H13" s="304" t="str">
        <f>IF(C13=0,"", IF(C14=0,"СВОБОДЕН",""))</f>
        <v/>
      </c>
      <c r="I13" s="304"/>
      <c r="J13" s="304"/>
      <c r="K13" s="305"/>
      <c r="L13" s="361"/>
      <c r="M13" s="362">
        <f>IFERROR(__xludf.DUMMYFUNCTION("""COMPUTED_VALUE"""),37.0)</f>
        <v>37</v>
      </c>
      <c r="N13" s="352">
        <f>IFERROR(__xludf.DUMMYFUNCTION("""COMPUTED_VALUE"""),37.0)</f>
        <v>37</v>
      </c>
      <c r="O13" s="302" t="str">
        <f>IFERROR(__xludf.DUMMYFUNCTION("""COMPUTED_VALUE"""),"ШУРАЛЕВ Павел")</f>
        <v>ШУРАЛЕВ Павел</v>
      </c>
      <c r="P13" s="302" t="str">
        <f>IFERROR(__xludf.DUMMYFUNCTION("""COMPUTED_VALUE"""),"КМС")</f>
        <v>КМС</v>
      </c>
      <c r="Q13" s="302" t="str">
        <f>IFERROR(__xludf.DUMMYFUNCTION("""COMPUTED_VALUE"""),"ЦФО")</f>
        <v>ЦФО</v>
      </c>
      <c r="R13" s="302" t="str">
        <f>IFERROR(__xludf.DUMMYFUNCTION("""COMPUTED_VALUE"""),"Московская")</f>
        <v>Московская</v>
      </c>
      <c r="S13" s="304"/>
      <c r="T13" s="304"/>
      <c r="U13" s="304"/>
      <c r="V13" s="305"/>
      <c r="W13" s="355"/>
      <c r="X13" s="352"/>
      <c r="Y13" s="302"/>
      <c r="Z13" s="302"/>
      <c r="AA13" s="302"/>
      <c r="AB13" s="302"/>
      <c r="AC13" s="304"/>
      <c r="AD13" s="304"/>
      <c r="AE13" s="304"/>
      <c r="AF13" s="305"/>
      <c r="AG13" s="355"/>
      <c r="AH13" s="352">
        <f>IFERROR(__xludf.DUMMYFUNCTION("""COMPUTED_VALUE"""),9.0)</f>
        <v>9</v>
      </c>
      <c r="AI13" s="302" t="str">
        <f>IF($AH13=0,"",(VLOOKUP($AH13,'Пр.взв'!$D$6:$J$71,2,0)))</f>
        <v>ГАДЖИКЕРИМОВ  Ислам</v>
      </c>
      <c r="AJ13" s="302" t="str">
        <f>IF($AH13=0,"",(VLOOKUP($AH13,'Пр.взв'!$D$6:$J$71,5,0)))</f>
        <v>КМС</v>
      </c>
      <c r="AK13" s="302" t="str">
        <f>IF($AH13=0,"",(VLOOKUP($AH13,'Пр.взв'!$D$6:$J$71,6,0)))</f>
        <v>СКФО</v>
      </c>
      <c r="AL13" s="302" t="str">
        <f>IF($AH13=0,"",(VLOOKUP($AH13,'Пр.взв'!$D$6:$M$71,8,0)))</f>
        <v>Р.Дагестан</v>
      </c>
      <c r="AM13" s="304" t="str">
        <f>IF(AH13=0,"", IF(AH14=0,"СВОБОДЕН",""))</f>
        <v/>
      </c>
      <c r="AN13" s="304"/>
      <c r="AO13" s="304"/>
      <c r="AP13" s="305"/>
    </row>
    <row r="14" ht="27.75" customHeight="1">
      <c r="A14" s="361">
        <v>0.0</v>
      </c>
      <c r="B14" s="351">
        <f t="shared" si="1"/>
        <v>11</v>
      </c>
      <c r="C14" s="356">
        <f>IFERROR(__xludf.DUMMYFUNCTION("""COMPUTED_VALUE"""),11.0)</f>
        <v>11</v>
      </c>
      <c r="D14" s="307" t="str">
        <f>IF(C14=0,"",(VLOOKUP($C14,'Пр.взв'!$D$6:$J$76,2,0)))</f>
        <v>НЕДОБЕЖКИН Илья</v>
      </c>
      <c r="E14" s="307" t="str">
        <f>IF(C14=0,"",(VLOOKUP($C14,'Пр.взв'!$D$6:$J$76,5,0)))</f>
        <v>КМС</v>
      </c>
      <c r="F14" s="307" t="str">
        <f>IF(C14=0,"",(VLOOKUP($C14,'Пр.взв'!$D$6:$M$76,6,0)))</f>
        <v>СПБ</v>
      </c>
      <c r="G14" s="307" t="str">
        <f>IF(C14=0,"",(VLOOKUP($C14,'Пр.взв'!$D$6:$M$76,8,0)))</f>
        <v>Санкт-Петербург</v>
      </c>
      <c r="H14" s="309"/>
      <c r="I14" s="309"/>
      <c r="J14" s="309"/>
      <c r="K14" s="310"/>
      <c r="L14" s="361"/>
      <c r="M14" s="362">
        <f>IFERROR(__xludf.DUMMYFUNCTION("""COMPUTED_VALUE"""),38.0)</f>
        <v>38</v>
      </c>
      <c r="N14" s="356">
        <f>IFERROR(__xludf.DUMMYFUNCTION("""COMPUTED_VALUE"""),38.0)</f>
        <v>38</v>
      </c>
      <c r="O14" s="307" t="str">
        <f>IFERROR(__xludf.DUMMYFUNCTION("""COMPUTED_VALUE"""),"АЛИЕВ Руслан")</f>
        <v>АЛИЕВ Руслан</v>
      </c>
      <c r="P14" s="307" t="str">
        <f>IFERROR(__xludf.DUMMYFUNCTION("""COMPUTED_VALUE"""),"КМС")</f>
        <v>КМС</v>
      </c>
      <c r="Q14" s="307" t="str">
        <f>IFERROR(__xludf.DUMMYFUNCTION("""COMPUTED_VALUE"""),"ЮФО")</f>
        <v>ЮФО</v>
      </c>
      <c r="R14" s="307" t="str">
        <f>IFERROR(__xludf.DUMMYFUNCTION("""COMPUTED_VALUE"""),"Краснодарский")</f>
        <v>Краснодарский</v>
      </c>
      <c r="S14" s="309" t="str">
        <f>IFERROR(__xludf.DUMMYFUNCTION("""COMPUTED_VALUE"""),"")</f>
        <v/>
      </c>
      <c r="T14" s="309"/>
      <c r="U14" s="309"/>
      <c r="V14" s="310"/>
      <c r="W14" s="355"/>
      <c r="X14" s="356"/>
      <c r="Y14" s="307"/>
      <c r="Z14" s="307"/>
      <c r="AA14" s="307"/>
      <c r="AB14" s="307"/>
      <c r="AC14" s="309"/>
      <c r="AD14" s="309"/>
      <c r="AE14" s="309"/>
      <c r="AF14" s="310"/>
      <c r="AG14" s="355"/>
      <c r="AH14" s="356">
        <f>IFERROR(__xludf.DUMMYFUNCTION("""COMPUTED_VALUE"""),11.0)</f>
        <v>11</v>
      </c>
      <c r="AI14" s="307" t="str">
        <f>IF($AH14=0,"",(VLOOKUP($AH14,'Пр.взв'!$D$6:$J$71,2,0)))</f>
        <v>НЕДОБЕЖКИН Илья</v>
      </c>
      <c r="AJ14" s="307" t="str">
        <f>IF($AH14=0,"",(VLOOKUP($AH14,'Пр.взв'!$D$6:$J$71,5,0)))</f>
        <v>КМС</v>
      </c>
      <c r="AK14" s="307" t="str">
        <f>IF($AH14=0,"",(VLOOKUP($AH14,'Пр.взв'!$D$6:$J$71,6,0)))</f>
        <v>СПБ</v>
      </c>
      <c r="AL14" s="307" t="str">
        <f>IF($AH14=0,"",(VLOOKUP($AH14,'Пр.взв'!$D$6:$M$71,8,0)))</f>
        <v>Санкт-Петербург</v>
      </c>
      <c r="AM14" s="309"/>
      <c r="AN14" s="309"/>
      <c r="AO14" s="309"/>
      <c r="AP14" s="310"/>
    </row>
    <row r="15" ht="27.75" customHeight="1">
      <c r="A15" s="361">
        <v>11.0</v>
      </c>
      <c r="B15" s="351">
        <f t="shared" si="1"/>
        <v>10</v>
      </c>
      <c r="C15" s="352">
        <f>IFERROR(__xludf.DUMMYFUNCTION("""COMPUTED_VALUE"""),10.0)</f>
        <v>10</v>
      </c>
      <c r="D15" s="302" t="str">
        <f>IF(C15=0,"",(VLOOKUP($C15,'Пр.взв'!$D$6:$J$76,2,0)))</f>
        <v>ЧЕРКАСОВ Данила</v>
      </c>
      <c r="E15" s="302" t="str">
        <f>IF(C15=0,"",(VLOOKUP($C15,'Пр.взв'!$D$6:$J$76,5,0)))</f>
        <v>КМС</v>
      </c>
      <c r="F15" s="302" t="str">
        <f>IF(C15=0,"",(VLOOKUP($C15,'Пр.взв'!$D$6:$M$76,6,0)))</f>
        <v>ПФО</v>
      </c>
      <c r="G15" s="302" t="str">
        <f>IF(C15=0,"",(VLOOKUP($C15,'Пр.взв'!$D$6:$M$76,8,0)))</f>
        <v>Саратовская</v>
      </c>
      <c r="H15" s="304" t="str">
        <f>IF(C15=0,"", IF(C16=0,"СВОБОДЕН",""))</f>
        <v/>
      </c>
      <c r="I15" s="304"/>
      <c r="J15" s="304"/>
      <c r="K15" s="305"/>
      <c r="L15" s="361"/>
      <c r="M15" s="362">
        <f>IFERROR(__xludf.DUMMYFUNCTION("""COMPUTED_VALUE"""),40.0)</f>
        <v>40</v>
      </c>
      <c r="N15" s="352">
        <f>IFERROR(__xludf.DUMMYFUNCTION("""COMPUTED_VALUE"""),40.0)</f>
        <v>40</v>
      </c>
      <c r="O15" s="302" t="str">
        <f>IFERROR(__xludf.DUMMYFUNCTION("""COMPUTED_VALUE"""),"ИБРАГИМОВ  Магомед")</f>
        <v>ИБРАГИМОВ  Магомед</v>
      </c>
      <c r="P15" s="302" t="str">
        <f>IFERROR(__xludf.DUMMYFUNCTION("""COMPUTED_VALUE"""),"КМС")</f>
        <v>КМС</v>
      </c>
      <c r="Q15" s="302" t="str">
        <f>IFERROR(__xludf.DUMMYFUNCTION("""COMPUTED_VALUE"""),"СКФО")</f>
        <v>СКФО</v>
      </c>
      <c r="R15" s="302" t="str">
        <f>IFERROR(__xludf.DUMMYFUNCTION("""COMPUTED_VALUE"""),"Р.Дагестан")</f>
        <v>Р.Дагестан</v>
      </c>
      <c r="S15" s="304"/>
      <c r="T15" s="304"/>
      <c r="U15" s="304"/>
      <c r="V15" s="305"/>
      <c r="W15" s="355"/>
      <c r="X15" s="352"/>
      <c r="Y15" s="302"/>
      <c r="Z15" s="302"/>
      <c r="AA15" s="302"/>
      <c r="AB15" s="302"/>
      <c r="AC15" s="304"/>
      <c r="AD15" s="304"/>
      <c r="AE15" s="304"/>
      <c r="AF15" s="305"/>
      <c r="AG15" s="355"/>
      <c r="AH15" s="352">
        <f>IFERROR(__xludf.DUMMYFUNCTION("""COMPUTED_VALUE"""),10.0)</f>
        <v>10</v>
      </c>
      <c r="AI15" s="302" t="str">
        <f>IF($AH15=0,"",(VLOOKUP($AH15,'Пр.взв'!$D$6:$J$71,2,0)))</f>
        <v>ЧЕРКАСОВ Данила</v>
      </c>
      <c r="AJ15" s="302" t="str">
        <f>IF($AH15=0,"",(VLOOKUP($AH15,'Пр.взв'!$D$6:$J$71,5,0)))</f>
        <v>КМС</v>
      </c>
      <c r="AK15" s="302" t="str">
        <f>IF($AH15=0,"",(VLOOKUP($AH15,'Пр.взв'!$D$6:$J$71,6,0)))</f>
        <v>ПФО</v>
      </c>
      <c r="AL15" s="302" t="str">
        <f>IF($AH15=0,"",(VLOOKUP($AH15,'Пр.взв'!$D$6:$M$71,8,0)))</f>
        <v>Саратовская</v>
      </c>
      <c r="AM15" s="304" t="str">
        <f>IF(AH15=0,"", IF(AH16=0,"СВОБОДЕН",""))</f>
        <v/>
      </c>
      <c r="AN15" s="304"/>
      <c r="AO15" s="304"/>
      <c r="AP15" s="305"/>
    </row>
    <row r="16" ht="27.75" customHeight="1">
      <c r="A16" s="361">
        <v>12.0</v>
      </c>
      <c r="B16" s="351">
        <f t="shared" si="1"/>
        <v>12</v>
      </c>
      <c r="C16" s="356">
        <f>IFERROR(__xludf.DUMMYFUNCTION("""COMPUTED_VALUE"""),12.0)</f>
        <v>12</v>
      </c>
      <c r="D16" s="307" t="str">
        <f>IF(C16=0,"",(VLOOKUP($C16,'Пр.взв'!$D$6:$J$76,2,0)))</f>
        <v>ВОЕВОДКИН Роберт</v>
      </c>
      <c r="E16" s="307" t="str">
        <f>IF(C16=0,"",(VLOOKUP($C16,'Пр.взв'!$D$6:$J$76,5,0)))</f>
        <v>КМС</v>
      </c>
      <c r="F16" s="307" t="str">
        <f>IF(C16=0,"",(VLOOKUP($C16,'Пр.взв'!$D$6:$M$76,6,0)))</f>
        <v>ЮФО</v>
      </c>
      <c r="G16" s="307" t="str">
        <f>IF(C16=0,"",(VLOOKUP($C16,'Пр.взв'!$D$6:$M$76,8,0)))</f>
        <v>Р.Крым</v>
      </c>
      <c r="H16" s="309"/>
      <c r="I16" s="309"/>
      <c r="J16" s="309"/>
      <c r="K16" s="310"/>
      <c r="L16" s="361"/>
      <c r="M16" s="362">
        <f>IFERROR(__xludf.DUMMYFUNCTION("""COMPUTED_VALUE"""),39.0)</f>
        <v>39</v>
      </c>
      <c r="N16" s="356">
        <f>IFERROR(__xludf.DUMMYFUNCTION("""COMPUTED_VALUE"""),39.0)</f>
        <v>39</v>
      </c>
      <c r="O16" s="307" t="str">
        <f>IFERROR(__xludf.DUMMYFUNCTION("""COMPUTED_VALUE"""),"ВЫСКРЕБЕНЦЕВ  Семён")</f>
        <v>ВЫСКРЕБЕНЦЕВ  Семён</v>
      </c>
      <c r="P16" s="307" t="str">
        <f>IFERROR(__xludf.DUMMYFUNCTION("""COMPUTED_VALUE"""),"2р")</f>
        <v>2р</v>
      </c>
      <c r="Q16" s="307" t="str">
        <f>IFERROR(__xludf.DUMMYFUNCTION("""COMPUTED_VALUE"""),"МОС")</f>
        <v>МОС</v>
      </c>
      <c r="R16" s="307" t="str">
        <f>IFERROR(__xludf.DUMMYFUNCTION("""COMPUTED_VALUE"""),"Москва")</f>
        <v>Москва</v>
      </c>
      <c r="S16" s="309" t="str">
        <f>IFERROR(__xludf.DUMMYFUNCTION("""COMPUTED_VALUE"""),"")</f>
        <v/>
      </c>
      <c r="T16" s="309"/>
      <c r="U16" s="309"/>
      <c r="V16" s="310"/>
      <c r="W16" s="355"/>
      <c r="X16" s="356"/>
      <c r="Y16" s="307"/>
      <c r="Z16" s="307"/>
      <c r="AA16" s="307"/>
      <c r="AB16" s="307"/>
      <c r="AC16" s="309"/>
      <c r="AD16" s="309"/>
      <c r="AE16" s="309"/>
      <c r="AF16" s="310"/>
      <c r="AG16" s="355"/>
      <c r="AH16" s="356">
        <f>IFERROR(__xludf.DUMMYFUNCTION("""COMPUTED_VALUE"""),12.0)</f>
        <v>12</v>
      </c>
      <c r="AI16" s="307" t="str">
        <f>IF($AH16=0,"",(VLOOKUP($AH16,'Пр.взв'!$D$6:$J$71,2,0)))</f>
        <v>ВОЕВОДКИН Роберт</v>
      </c>
      <c r="AJ16" s="307" t="str">
        <f>IF($AH16=0,"",(VLOOKUP($AH16,'Пр.взв'!$D$6:$J$71,5,0)))</f>
        <v>КМС</v>
      </c>
      <c r="AK16" s="307" t="str">
        <f>IF($AH16=0,"",(VLOOKUP($AH16,'Пр.взв'!$D$6:$J$71,6,0)))</f>
        <v>ЮФО</v>
      </c>
      <c r="AL16" s="307" t="str">
        <f>IF($AH16=0,"",(VLOOKUP($AH16,'Пр.взв'!$D$6:$M$71,8,0)))</f>
        <v>Р.Крым</v>
      </c>
      <c r="AM16" s="309"/>
      <c r="AN16" s="309"/>
      <c r="AO16" s="309"/>
      <c r="AP16" s="310"/>
    </row>
    <row r="17" ht="27.75" customHeight="1">
      <c r="A17" s="361">
        <v>13.0</v>
      </c>
      <c r="B17" s="351">
        <f t="shared" si="1"/>
        <v>13</v>
      </c>
      <c r="C17" s="352">
        <f>IFERROR(__xludf.DUMMYFUNCTION("""COMPUTED_VALUE"""),13.0)</f>
        <v>13</v>
      </c>
      <c r="D17" s="302" t="str">
        <f>IF(C17=0,"",(VLOOKUP($C17,'Пр.взв'!$D$6:$J$76,2,0)))</f>
        <v>МЕФОДИН Никита </v>
      </c>
      <c r="E17" s="302" t="str">
        <f>IF(C17=0,"",(VLOOKUP($C17,'Пр.взв'!$D$6:$J$76,5,0)))</f>
        <v>1р</v>
      </c>
      <c r="F17" s="302" t="str">
        <f>IF(C17=0,"",(VLOOKUP($C17,'Пр.взв'!$D$6:$M$76,6,0)))</f>
        <v>ЦФО</v>
      </c>
      <c r="G17" s="302" t="str">
        <f>IF(C17=0,"",(VLOOKUP($C17,'Пр.взв'!$D$6:$M$76,8,0)))</f>
        <v>Рязанская</v>
      </c>
      <c r="H17" s="304" t="str">
        <f>IF(C17=0,"", IF(C18=0,"СВОБОДЕН",""))</f>
        <v/>
      </c>
      <c r="I17" s="304"/>
      <c r="J17" s="304"/>
      <c r="K17" s="305"/>
      <c r="L17" s="361"/>
      <c r="M17" s="362">
        <f>IFERROR(__xludf.DUMMYFUNCTION("""COMPUTED_VALUE"""),41.0)</f>
        <v>41</v>
      </c>
      <c r="N17" s="352">
        <f>IFERROR(__xludf.DUMMYFUNCTION("""COMPUTED_VALUE"""),41.0)</f>
        <v>41</v>
      </c>
      <c r="O17" s="302" t="str">
        <f>IFERROR(__xludf.DUMMYFUNCTION("""COMPUTED_VALUE"""),"КРЕЧЕТОВ  Никита")</f>
        <v>КРЕЧЕТОВ  Никита</v>
      </c>
      <c r="P17" s="302" t="str">
        <f>IFERROR(__xludf.DUMMYFUNCTION("""COMPUTED_VALUE"""),"КМС")</f>
        <v>КМС</v>
      </c>
      <c r="Q17" s="302" t="str">
        <f>IFERROR(__xludf.DUMMYFUNCTION("""COMPUTED_VALUE"""),"ПФО")</f>
        <v>ПФО</v>
      </c>
      <c r="R17" s="302" t="str">
        <f>IFERROR(__xludf.DUMMYFUNCTION("""COMPUTED_VALUE"""),"Самарская")</f>
        <v>Самарская</v>
      </c>
      <c r="S17" s="304"/>
      <c r="T17" s="304"/>
      <c r="U17" s="304"/>
      <c r="V17" s="305"/>
      <c r="W17" s="355"/>
      <c r="X17" s="352"/>
      <c r="Y17" s="302"/>
      <c r="Z17" s="302"/>
      <c r="AA17" s="302"/>
      <c r="AB17" s="302"/>
      <c r="AC17" s="304"/>
      <c r="AD17" s="304"/>
      <c r="AE17" s="304"/>
      <c r="AF17" s="305"/>
      <c r="AG17" s="355"/>
      <c r="AH17" s="352">
        <f>IFERROR(__xludf.DUMMYFUNCTION("""COMPUTED_VALUE"""),13.0)</f>
        <v>13</v>
      </c>
      <c r="AI17" s="302" t="str">
        <f>IF($AH17=0,"",(VLOOKUP($AH17,'Пр.взв'!$D$6:$J$71,2,0)))</f>
        <v>МЕФОДИН Никита </v>
      </c>
      <c r="AJ17" s="302" t="str">
        <f>IF($AH17=0,"",(VLOOKUP($AH17,'Пр.взв'!$D$6:$J$71,5,0)))</f>
        <v>1р</v>
      </c>
      <c r="AK17" s="302" t="str">
        <f>IF($AH17=0,"",(VLOOKUP($AH17,'Пр.взв'!$D$6:$J$71,6,0)))</f>
        <v>ЦФО</v>
      </c>
      <c r="AL17" s="302" t="str">
        <f>IF($AH17=0,"",(VLOOKUP($AH17,'Пр.взв'!$D$6:$M$71,8,0)))</f>
        <v>Рязанская</v>
      </c>
      <c r="AM17" s="304" t="str">
        <f>IF(AH17=0,"", IF(AH18=0,"СВОБОДЕН",""))</f>
        <v/>
      </c>
      <c r="AN17" s="304"/>
      <c r="AO17" s="304"/>
      <c r="AP17" s="305"/>
    </row>
    <row r="18" ht="27.75" customHeight="1">
      <c r="A18" s="361">
        <v>14.0</v>
      </c>
      <c r="B18" s="351">
        <f t="shared" si="1"/>
        <v>15</v>
      </c>
      <c r="C18" s="356">
        <f>IFERROR(__xludf.DUMMYFUNCTION("""COMPUTED_VALUE"""),15.0)</f>
        <v>15</v>
      </c>
      <c r="D18" s="307" t="str">
        <f>IF(C18=0,"",(VLOOKUP($C18,'Пр.взв'!$D$6:$J$76,2,0)))</f>
        <v>ЧИЧКОВ Дмитрий </v>
      </c>
      <c r="E18" s="307" t="str">
        <f>IF(C18=0,"",(VLOOKUP($C18,'Пр.взв'!$D$6:$J$76,5,0)))</f>
        <v>КМС</v>
      </c>
      <c r="F18" s="307" t="str">
        <f>IF(C18=0,"",(VLOOKUP($C18,'Пр.взв'!$D$6:$M$76,6,0)))</f>
        <v>ЦФО</v>
      </c>
      <c r="G18" s="307" t="str">
        <f>IF(C18=0,"",(VLOOKUP($C18,'Пр.взв'!$D$6:$M$76,8,0)))</f>
        <v>Московская</v>
      </c>
      <c r="H18" s="309"/>
      <c r="I18" s="309"/>
      <c r="J18" s="309"/>
      <c r="K18" s="310"/>
      <c r="L18" s="361"/>
      <c r="M18" s="362">
        <f>IFERROR(__xludf.DUMMYFUNCTION("""COMPUTED_VALUE"""),42.0)</f>
        <v>42</v>
      </c>
      <c r="N18" s="356">
        <f>IFERROR(__xludf.DUMMYFUNCTION("""COMPUTED_VALUE"""),42.0)</f>
        <v>42</v>
      </c>
      <c r="O18" s="307" t="str">
        <f>IFERROR(__xludf.DUMMYFUNCTION("""COMPUTED_VALUE"""),"КОЗЫРЬ Ростислав")</f>
        <v>КОЗЫРЬ Ростислав</v>
      </c>
      <c r="P18" s="307" t="str">
        <f>IFERROR(__xludf.DUMMYFUNCTION("""COMPUTED_VALUE"""),"КМС")</f>
        <v>КМС</v>
      </c>
      <c r="Q18" s="307" t="str">
        <f>IFERROR(__xludf.DUMMYFUNCTION("""COMPUTED_VALUE"""),"ЮФО")</f>
        <v>ЮФО</v>
      </c>
      <c r="R18" s="307" t="str">
        <f>IFERROR(__xludf.DUMMYFUNCTION("""COMPUTED_VALUE"""),"Р.Крым")</f>
        <v>Р.Крым</v>
      </c>
      <c r="S18" s="309" t="str">
        <f>IFERROR(__xludf.DUMMYFUNCTION("""COMPUTED_VALUE"""),"")</f>
        <v/>
      </c>
      <c r="T18" s="309"/>
      <c r="U18" s="309"/>
      <c r="V18" s="310"/>
      <c r="W18" s="355"/>
      <c r="X18" s="356"/>
      <c r="Y18" s="307"/>
      <c r="Z18" s="307"/>
      <c r="AA18" s="307"/>
      <c r="AB18" s="307"/>
      <c r="AC18" s="309"/>
      <c r="AD18" s="309"/>
      <c r="AE18" s="309"/>
      <c r="AF18" s="310"/>
      <c r="AG18" s="355"/>
      <c r="AH18" s="356">
        <f>IFERROR(__xludf.DUMMYFUNCTION("""COMPUTED_VALUE"""),15.0)</f>
        <v>15</v>
      </c>
      <c r="AI18" s="307" t="str">
        <f>IF($AH18=0,"",(VLOOKUP($AH18,'Пр.взв'!$D$6:$J$71,2,0)))</f>
        <v>ЧИЧКОВ Дмитрий </v>
      </c>
      <c r="AJ18" s="307" t="str">
        <f>IF($AH18=0,"",(VLOOKUP($AH18,'Пр.взв'!$D$6:$J$71,5,0)))</f>
        <v>КМС</v>
      </c>
      <c r="AK18" s="307" t="str">
        <f>IF($AH18=0,"",(VLOOKUP($AH18,'Пр.взв'!$D$6:$J$71,6,0)))</f>
        <v>ЦФО</v>
      </c>
      <c r="AL18" s="307" t="str">
        <f>IF($AH18=0,"",(VLOOKUP($AH18,'Пр.взв'!$D$6:$M$71,8,0)))</f>
        <v>Московская</v>
      </c>
      <c r="AM18" s="309"/>
      <c r="AN18" s="309"/>
      <c r="AO18" s="309"/>
      <c r="AP18" s="310"/>
    </row>
    <row r="19" ht="27.75" customHeight="1">
      <c r="A19" s="361">
        <v>15.0</v>
      </c>
      <c r="B19" s="351">
        <f t="shared" si="1"/>
        <v>14</v>
      </c>
      <c r="C19" s="352">
        <f>IFERROR(__xludf.DUMMYFUNCTION("""COMPUTED_VALUE"""),14.0)</f>
        <v>14</v>
      </c>
      <c r="D19" s="302" t="str">
        <f>IF(C19=0,"",(VLOOKUP($C19,'Пр.взв'!$D$6:$J$76,2,0)))</f>
        <v>СТАШ Тагир</v>
      </c>
      <c r="E19" s="302" t="str">
        <f>IF(C19=0,"",(VLOOKUP($C19,'Пр.взв'!$D$6:$J$76,5,0)))</f>
        <v>КМС</v>
      </c>
      <c r="F19" s="302" t="str">
        <f>IF(C19=0,"",(VLOOKUP($C19,'Пр.взв'!$D$6:$M$76,6,0)))</f>
        <v>ЮФО</v>
      </c>
      <c r="G19" s="302" t="str">
        <f>IF(C19=0,"",(VLOOKUP($C19,'Пр.взв'!$D$6:$M$76,8,0)))</f>
        <v>Р.Адыгея</v>
      </c>
      <c r="H19" s="304" t="str">
        <f>IF(C19=0,"", IF(C20=0,"СВОБОДЕН",""))</f>
        <v/>
      </c>
      <c r="I19" s="304"/>
      <c r="J19" s="304"/>
      <c r="K19" s="305"/>
      <c r="L19" s="361"/>
      <c r="M19" s="362">
        <f>IFERROR(__xludf.DUMMYFUNCTION("""COMPUTED_VALUE"""),44.0)</f>
        <v>44</v>
      </c>
      <c r="N19" s="352">
        <f>IFERROR(__xludf.DUMMYFUNCTION("""COMPUTED_VALUE"""),44.0)</f>
        <v>44</v>
      </c>
      <c r="O19" s="302" t="str">
        <f>IFERROR(__xludf.DUMMYFUNCTION("""COMPUTED_VALUE"""),"КОРОСТИЕНКО Денис")</f>
        <v>КОРОСТИЕНКО Денис</v>
      </c>
      <c r="P19" s="302" t="str">
        <f>IFERROR(__xludf.DUMMYFUNCTION("""COMPUTED_VALUE"""),"КМС")</f>
        <v>КМС</v>
      </c>
      <c r="Q19" s="302" t="str">
        <f>IFERROR(__xludf.DUMMYFUNCTION("""COMPUTED_VALUE"""),"ДВФО")</f>
        <v>ДВФО</v>
      </c>
      <c r="R19" s="302" t="str">
        <f>IFERROR(__xludf.DUMMYFUNCTION("""COMPUTED_VALUE"""),"Хабаровский")</f>
        <v>Хабаровский</v>
      </c>
      <c r="S19" s="304"/>
      <c r="T19" s="304"/>
      <c r="U19" s="304"/>
      <c r="V19" s="305"/>
      <c r="W19" s="355"/>
      <c r="X19" s="352"/>
      <c r="Y19" s="302"/>
      <c r="Z19" s="302"/>
      <c r="AA19" s="302"/>
      <c r="AB19" s="302"/>
      <c r="AC19" s="304"/>
      <c r="AD19" s="304"/>
      <c r="AE19" s="304"/>
      <c r="AF19" s="305"/>
      <c r="AG19" s="355"/>
      <c r="AH19" s="352">
        <f>IFERROR(__xludf.DUMMYFUNCTION("""COMPUTED_VALUE"""),14.0)</f>
        <v>14</v>
      </c>
      <c r="AI19" s="302" t="str">
        <f>IF($AH19=0,"",(VLOOKUP($AH19,'Пр.взв'!$D$6:$J$71,2,0)))</f>
        <v>СТАШ Тагир</v>
      </c>
      <c r="AJ19" s="302" t="str">
        <f>IF($AH19=0,"",(VLOOKUP($AH19,'Пр.взв'!$D$6:$J$71,5,0)))</f>
        <v>КМС</v>
      </c>
      <c r="AK19" s="302" t="str">
        <f>IF($AH19=0,"",(VLOOKUP($AH19,'Пр.взв'!$D$6:$J$71,6,0)))</f>
        <v>ЮФО</v>
      </c>
      <c r="AL19" s="302" t="str">
        <f>IF($AH19=0,"",(VLOOKUP($AH19,'Пр.взв'!$D$6:$M$71,8,0)))</f>
        <v>Р.Адыгея</v>
      </c>
      <c r="AM19" s="304" t="str">
        <f>IF(AH19=0,"", IF(AH20=0,"СВОБОДЕН",""))</f>
        <v/>
      </c>
      <c r="AN19" s="304"/>
      <c r="AO19" s="304"/>
      <c r="AP19" s="305"/>
    </row>
    <row r="20" ht="27.75" customHeight="1">
      <c r="A20" s="361">
        <v>16.0</v>
      </c>
      <c r="B20" s="351">
        <f t="shared" si="1"/>
        <v>16</v>
      </c>
      <c r="C20" s="356">
        <f>IFERROR(__xludf.DUMMYFUNCTION("""COMPUTED_VALUE"""),16.0)</f>
        <v>16</v>
      </c>
      <c r="D20" s="307" t="str">
        <f>IF(C20=0,"",(VLOOKUP($C20,'Пр.взв'!$D$6:$J$76,2,0)))</f>
        <v>ПЭЛЫПИВ Никита</v>
      </c>
      <c r="E20" s="307" t="str">
        <f>IF(C20=0,"",(VLOOKUP($C20,'Пр.взв'!$D$6:$J$76,5,0)))</f>
        <v>КМС</v>
      </c>
      <c r="F20" s="307" t="str">
        <f>IF(C20=0,"",(VLOOKUP($C20,'Пр.взв'!$D$6:$M$76,6,0)))</f>
        <v>ПФО</v>
      </c>
      <c r="G20" s="307" t="str">
        <f>IF(C20=0,"",(VLOOKUP($C20,'Пр.взв'!$D$6:$M$76,8,0)))</f>
        <v>Саратовская</v>
      </c>
      <c r="H20" s="309"/>
      <c r="I20" s="309"/>
      <c r="J20" s="309"/>
      <c r="K20" s="310"/>
      <c r="L20" s="361"/>
      <c r="M20" s="362">
        <f>IFERROR(__xludf.DUMMYFUNCTION("""COMPUTED_VALUE"""),43.0)</f>
        <v>43</v>
      </c>
      <c r="N20" s="356">
        <f>IFERROR(__xludf.DUMMYFUNCTION("""COMPUTED_VALUE"""),43.0)</f>
        <v>43</v>
      </c>
      <c r="O20" s="307" t="str">
        <f>IFERROR(__xludf.DUMMYFUNCTION("""COMPUTED_VALUE"""),"ДМИТРИЕВ Сергей ")</f>
        <v>ДМИТРИЕВ Сергей </v>
      </c>
      <c r="P20" s="307" t="str">
        <f>IFERROR(__xludf.DUMMYFUNCTION("""COMPUTED_VALUE"""),"КМС")</f>
        <v>КМС</v>
      </c>
      <c r="Q20" s="307" t="str">
        <f>IFERROR(__xludf.DUMMYFUNCTION("""COMPUTED_VALUE"""),"УФО")</f>
        <v>УФО</v>
      </c>
      <c r="R20" s="307" t="str">
        <f>IFERROR(__xludf.DUMMYFUNCTION("""COMPUTED_VALUE"""),"Свердловская")</f>
        <v>Свердловская</v>
      </c>
      <c r="S20" s="309" t="str">
        <f>IFERROR(__xludf.DUMMYFUNCTION("""COMPUTED_VALUE"""),"")</f>
        <v/>
      </c>
      <c r="T20" s="309"/>
      <c r="U20" s="309"/>
      <c r="V20" s="310"/>
      <c r="W20" s="355"/>
      <c r="X20" s="356"/>
      <c r="Y20" s="307"/>
      <c r="Z20" s="307"/>
      <c r="AA20" s="307"/>
      <c r="AB20" s="307"/>
      <c r="AC20" s="309"/>
      <c r="AD20" s="309"/>
      <c r="AE20" s="309"/>
      <c r="AF20" s="310"/>
      <c r="AG20" s="355"/>
      <c r="AH20" s="356">
        <f>IFERROR(__xludf.DUMMYFUNCTION("""COMPUTED_VALUE"""),16.0)</f>
        <v>16</v>
      </c>
      <c r="AI20" s="307" t="str">
        <f>IF($AH20=0,"",(VLOOKUP($AH20,'Пр.взв'!$D$6:$J$71,2,0)))</f>
        <v>ПЭЛЫПИВ Никита</v>
      </c>
      <c r="AJ20" s="307" t="str">
        <f>IF($AH20=0,"",(VLOOKUP($AH20,'Пр.взв'!$D$6:$J$71,5,0)))</f>
        <v>КМС</v>
      </c>
      <c r="AK20" s="307" t="str">
        <f>IF($AH20=0,"",(VLOOKUP($AH20,'Пр.взв'!$D$6:$J$71,6,0)))</f>
        <v>ПФО</v>
      </c>
      <c r="AL20" s="307" t="str">
        <f>IF($AH20=0,"",(VLOOKUP($AH20,'Пр.взв'!$D$6:$M$71,8,0)))</f>
        <v>Саратовская</v>
      </c>
      <c r="AM20" s="309"/>
      <c r="AN20" s="309"/>
      <c r="AO20" s="309"/>
      <c r="AP20" s="310"/>
    </row>
    <row r="21" ht="27.75" customHeight="1">
      <c r="A21" s="361">
        <v>17.0</v>
      </c>
      <c r="B21" s="351">
        <f t="shared" si="1"/>
        <v>17</v>
      </c>
      <c r="C21" s="352">
        <f>IFERROR(__xludf.DUMMYFUNCTION("""COMPUTED_VALUE"""),17.0)</f>
        <v>17</v>
      </c>
      <c r="D21" s="302" t="str">
        <f>IF(C21=0,"",(VLOOKUP($C21,'Пр.взв'!$D$6:$J$76,2,0)))</f>
        <v>УШАКОВ  Глеб </v>
      </c>
      <c r="E21" s="302" t="str">
        <f>IF(C21=0,"",(VLOOKUP($C21,'Пр.взв'!$D$6:$J$76,5,0)))</f>
        <v>КМС</v>
      </c>
      <c r="F21" s="302" t="str">
        <f>IF(C21=0,"",(VLOOKUP($C21,'Пр.взв'!$D$6:$M$76,6,0)))</f>
        <v>ЦФО</v>
      </c>
      <c r="G21" s="302" t="str">
        <f>IF(C21=0,"",(VLOOKUP($C21,'Пр.взв'!$D$6:$M$76,8,0)))</f>
        <v>Ярославская</v>
      </c>
      <c r="H21" s="304" t="str">
        <f>IF(C21=0,"", IF(C22=0,"СВОБОДЕН",""))</f>
        <v/>
      </c>
      <c r="I21" s="304"/>
      <c r="J21" s="304"/>
      <c r="K21" s="305"/>
      <c r="L21" s="361"/>
      <c r="M21" s="362">
        <f>IFERROR(__xludf.DUMMYFUNCTION("""COMPUTED_VALUE"""),45.0)</f>
        <v>45</v>
      </c>
      <c r="N21" s="352">
        <f>IFERROR(__xludf.DUMMYFUNCTION("""COMPUTED_VALUE"""),45.0)</f>
        <v>45</v>
      </c>
      <c r="O21" s="302" t="str">
        <f>IFERROR(__xludf.DUMMYFUNCTION("""COMPUTED_VALUE"""),"ДОЛАЕВ Тимур")</f>
        <v>ДОЛАЕВ Тимур</v>
      </c>
      <c r="P21" s="302" t="str">
        <f>IFERROR(__xludf.DUMMYFUNCTION("""COMPUTED_VALUE"""),"КМС")</f>
        <v>КМС</v>
      </c>
      <c r="Q21" s="302" t="str">
        <f>IFERROR(__xludf.DUMMYFUNCTION("""COMPUTED_VALUE"""),"СКФО")</f>
        <v>СКФО</v>
      </c>
      <c r="R21" s="302" t="str">
        <f>IFERROR(__xludf.DUMMYFUNCTION("""COMPUTED_VALUE"""),"Ставропольский")</f>
        <v>Ставропольский</v>
      </c>
      <c r="S21" s="304"/>
      <c r="T21" s="304"/>
      <c r="U21" s="304"/>
      <c r="V21" s="305"/>
      <c r="W21" s="355"/>
      <c r="X21" s="352"/>
      <c r="Y21" s="302"/>
      <c r="Z21" s="302"/>
      <c r="AA21" s="302"/>
      <c r="AB21" s="302"/>
      <c r="AC21" s="304"/>
      <c r="AD21" s="304"/>
      <c r="AE21" s="304"/>
      <c r="AF21" s="305"/>
      <c r="AG21" s="355"/>
      <c r="AH21" s="352">
        <f>IFERROR(__xludf.DUMMYFUNCTION("""COMPUTED_VALUE"""),17.0)</f>
        <v>17</v>
      </c>
      <c r="AI21" s="302" t="str">
        <f>IF($AH21=0,"",(VLOOKUP($AH21,'Пр.взв'!$D$6:$J$71,2,0)))</f>
        <v>УШАКОВ  Глеб </v>
      </c>
      <c r="AJ21" s="302" t="str">
        <f>IF($AH21=0,"",(VLOOKUP($AH21,'Пр.взв'!$D$6:$J$71,5,0)))</f>
        <v>КМС</v>
      </c>
      <c r="AK21" s="302" t="str">
        <f>IF($AH21=0,"",(VLOOKUP($AH21,'Пр.взв'!$D$6:$J$71,6,0)))</f>
        <v>ЦФО</v>
      </c>
      <c r="AL21" s="302" t="str">
        <f>IF($AH21=0,"",(VLOOKUP($AH21,'Пр.взв'!$D$6:$M$71,8,0)))</f>
        <v>Ярославская</v>
      </c>
      <c r="AM21" s="304" t="str">
        <f>IF(AH21=0,"", IF(AH22=0,"СВОБОДЕН",""))</f>
        <v/>
      </c>
      <c r="AN21" s="304"/>
      <c r="AO21" s="304"/>
      <c r="AP21" s="305"/>
    </row>
    <row r="22" ht="27.75" customHeight="1">
      <c r="A22" s="361">
        <v>18.0</v>
      </c>
      <c r="B22" s="351">
        <f t="shared" si="1"/>
        <v>19</v>
      </c>
      <c r="C22" s="356">
        <f>IFERROR(__xludf.DUMMYFUNCTION("""COMPUTED_VALUE"""),19.0)</f>
        <v>19</v>
      </c>
      <c r="D22" s="307" t="str">
        <f>IF(C22=0,"",(VLOOKUP($C22,'Пр.взв'!$D$6:$J$76,2,0)))</f>
        <v>МУХАМЕДРИЗАЕВ Рустам</v>
      </c>
      <c r="E22" s="307" t="str">
        <f>IF(C22=0,"",(VLOOKUP($C22,'Пр.взв'!$D$6:$J$76,5,0)))</f>
        <v>2р</v>
      </c>
      <c r="F22" s="307" t="str">
        <f>IF(C22=0,"",(VLOOKUP($C22,'Пр.взв'!$D$6:$M$76,6,0)))</f>
        <v>МОС</v>
      </c>
      <c r="G22" s="307" t="str">
        <f>IF(C22=0,"",(VLOOKUP($C22,'Пр.взв'!$D$6:$M$76,8,0)))</f>
        <v>Москва</v>
      </c>
      <c r="H22" s="309"/>
      <c r="I22" s="309"/>
      <c r="J22" s="309"/>
      <c r="K22" s="310"/>
      <c r="L22" s="361"/>
      <c r="M22" s="362">
        <f>IFERROR(__xludf.DUMMYFUNCTION("""COMPUTED_VALUE"""),46.0)</f>
        <v>46</v>
      </c>
      <c r="N22" s="356">
        <f>IFERROR(__xludf.DUMMYFUNCTION("""COMPUTED_VALUE"""),46.0)</f>
        <v>46</v>
      </c>
      <c r="O22" s="307" t="str">
        <f>IFERROR(__xludf.DUMMYFUNCTION("""COMPUTED_VALUE"""),"СЕМЕНОВ Богдан")</f>
        <v>СЕМЕНОВ Богдан</v>
      </c>
      <c r="P22" s="307" t="str">
        <f>IFERROR(__xludf.DUMMYFUNCTION("""COMPUTED_VALUE"""),"КМС")</f>
        <v>КМС</v>
      </c>
      <c r="Q22" s="307" t="str">
        <f>IFERROR(__xludf.DUMMYFUNCTION("""COMPUTED_VALUE"""),"ПФО")</f>
        <v>ПФО</v>
      </c>
      <c r="R22" s="307" t="str">
        <f>IFERROR(__xludf.DUMMYFUNCTION("""COMPUTED_VALUE"""),"Пензенская")</f>
        <v>Пензенская</v>
      </c>
      <c r="S22" s="309" t="str">
        <f>IFERROR(__xludf.DUMMYFUNCTION("""COMPUTED_VALUE"""),"")</f>
        <v/>
      </c>
      <c r="T22" s="309"/>
      <c r="U22" s="309"/>
      <c r="V22" s="310"/>
      <c r="W22" s="355"/>
      <c r="X22" s="356"/>
      <c r="Y22" s="307"/>
      <c r="Z22" s="307"/>
      <c r="AA22" s="307"/>
      <c r="AB22" s="307"/>
      <c r="AC22" s="309"/>
      <c r="AD22" s="309"/>
      <c r="AE22" s="309"/>
      <c r="AF22" s="310"/>
      <c r="AG22" s="355"/>
      <c r="AH22" s="356">
        <f>IFERROR(__xludf.DUMMYFUNCTION("""COMPUTED_VALUE"""),19.0)</f>
        <v>19</v>
      </c>
      <c r="AI22" s="307" t="str">
        <f>IF($AH22=0,"",(VLOOKUP($AH22,'Пр.взв'!$D$6:$J$71,2,0)))</f>
        <v>МУХАМЕДРИЗАЕВ Рустам</v>
      </c>
      <c r="AJ22" s="307" t="str">
        <f>IF($AH22=0,"",(VLOOKUP($AH22,'Пр.взв'!$D$6:$J$71,5,0)))</f>
        <v>2р</v>
      </c>
      <c r="AK22" s="307" t="str">
        <f>IF($AH22=0,"",(VLOOKUP($AH22,'Пр.взв'!$D$6:$J$71,6,0)))</f>
        <v>МОС</v>
      </c>
      <c r="AL22" s="307" t="str">
        <f>IF($AH22=0,"",(VLOOKUP($AH22,'Пр.взв'!$D$6:$M$71,8,0)))</f>
        <v>Москва</v>
      </c>
      <c r="AM22" s="309"/>
      <c r="AN22" s="309"/>
      <c r="AO22" s="309"/>
      <c r="AP22" s="310"/>
    </row>
    <row r="23" ht="27.75" customHeight="1">
      <c r="A23" s="361">
        <v>19.0</v>
      </c>
      <c r="B23" s="351">
        <f t="shared" si="1"/>
        <v>18</v>
      </c>
      <c r="C23" s="352">
        <f>IFERROR(__xludf.DUMMYFUNCTION("""COMPUTED_VALUE"""),18.0)</f>
        <v>18</v>
      </c>
      <c r="D23" s="302" t="str">
        <f>IF(C23=0,"",(VLOOKUP($C23,'Пр.взв'!$D$6:$J$76,2,0)))</f>
        <v>ПОЧИВАЛОВ Артём</v>
      </c>
      <c r="E23" s="302" t="str">
        <f>IF(C23=0,"",(VLOOKUP($C23,'Пр.взв'!$D$6:$J$76,5,0)))</f>
        <v>КМС</v>
      </c>
      <c r="F23" s="302" t="str">
        <f>IF(C23=0,"",(VLOOKUP($C23,'Пр.взв'!$D$6:$M$76,6,0)))</f>
        <v>ПФО</v>
      </c>
      <c r="G23" s="302" t="str">
        <f>IF(C23=0,"",(VLOOKUP($C23,'Пр.взв'!$D$6:$M$76,8,0)))</f>
        <v>Пензенская</v>
      </c>
      <c r="H23" s="304" t="str">
        <f>IF(C23=0,"", IF(C24=0,"СВОБОДЕН",""))</f>
        <v/>
      </c>
      <c r="I23" s="304"/>
      <c r="J23" s="304"/>
      <c r="K23" s="305"/>
      <c r="L23" s="361"/>
      <c r="M23" s="362">
        <f>IFERROR(__xludf.DUMMYFUNCTION("""COMPUTED_VALUE"""),48.0)</f>
        <v>48</v>
      </c>
      <c r="N23" s="352">
        <f>IFERROR(__xludf.DUMMYFUNCTION("""COMPUTED_VALUE"""),48.0)</f>
        <v>48</v>
      </c>
      <c r="O23" s="302" t="str">
        <f>IFERROR(__xludf.DUMMYFUNCTION("""COMPUTED_VALUE"""),"ТУКСУМБАЕВ Артём")</f>
        <v>ТУКСУМБАЕВ Артём</v>
      </c>
      <c r="P23" s="302" t="str">
        <f>IFERROR(__xludf.DUMMYFUNCTION("""COMPUTED_VALUE"""),"КМС")</f>
        <v>КМС</v>
      </c>
      <c r="Q23" s="302" t="str">
        <f>IFERROR(__xludf.DUMMYFUNCTION("""COMPUTED_VALUE"""),"СФО")</f>
        <v>СФО</v>
      </c>
      <c r="R23" s="302" t="str">
        <f>IFERROR(__xludf.DUMMYFUNCTION("""COMPUTED_VALUE"""),"Алтайский")</f>
        <v>Алтайский</v>
      </c>
      <c r="S23" s="304"/>
      <c r="T23" s="304"/>
      <c r="U23" s="304"/>
      <c r="V23" s="305"/>
      <c r="W23" s="355"/>
      <c r="X23" s="352"/>
      <c r="Y23" s="302"/>
      <c r="Z23" s="302"/>
      <c r="AA23" s="302"/>
      <c r="AB23" s="302"/>
      <c r="AC23" s="304"/>
      <c r="AD23" s="304"/>
      <c r="AE23" s="304"/>
      <c r="AF23" s="305"/>
      <c r="AG23" s="355"/>
      <c r="AH23" s="352">
        <f>IFERROR(__xludf.DUMMYFUNCTION("""COMPUTED_VALUE"""),18.0)</f>
        <v>18</v>
      </c>
      <c r="AI23" s="302" t="str">
        <f>IF($AH23=0,"",(VLOOKUP($AH23,'Пр.взв'!$D$6:$J$71,2,0)))</f>
        <v>ПОЧИВАЛОВ Артём</v>
      </c>
      <c r="AJ23" s="302" t="str">
        <f>IF($AH23=0,"",(VLOOKUP($AH23,'Пр.взв'!$D$6:$J$71,5,0)))</f>
        <v>КМС</v>
      </c>
      <c r="AK23" s="302" t="str">
        <f>IF($AH23=0,"",(VLOOKUP($AH23,'Пр.взв'!$D$6:$J$71,6,0)))</f>
        <v>ПФО</v>
      </c>
      <c r="AL23" s="302" t="str">
        <f>IF($AH23=0,"",(VLOOKUP($AH23,'Пр.взв'!$D$6:$M$71,8,0)))</f>
        <v>Пензенская</v>
      </c>
      <c r="AM23" s="304" t="str">
        <f>IF(AH23=0,"", IF(AH24=0,"СВОБОДЕН",""))</f>
        <v/>
      </c>
      <c r="AN23" s="304"/>
      <c r="AO23" s="304"/>
      <c r="AP23" s="305"/>
    </row>
    <row r="24" ht="27.75" customHeight="1">
      <c r="A24" s="361">
        <v>20.0</v>
      </c>
      <c r="B24" s="351">
        <f t="shared" si="1"/>
        <v>20</v>
      </c>
      <c r="C24" s="356">
        <f>IFERROR(__xludf.DUMMYFUNCTION("""COMPUTED_VALUE"""),20.0)</f>
        <v>20</v>
      </c>
      <c r="D24" s="307" t="str">
        <f>IF(C24=0,"",(VLOOKUP($C24,'Пр.взв'!$D$6:$J$76,2,0)))</f>
        <v>ХАЧАТРЯН Сос</v>
      </c>
      <c r="E24" s="307" t="str">
        <f>IF(C24=0,"",(VLOOKUP($C24,'Пр.взв'!$D$6:$J$76,5,0)))</f>
        <v>КМС</v>
      </c>
      <c r="F24" s="307" t="str">
        <f>IF(C24=0,"",(VLOOKUP($C24,'Пр.взв'!$D$6:$M$76,6,0)))</f>
        <v>ЮФО</v>
      </c>
      <c r="G24" s="307" t="str">
        <f>IF(C24=0,"",(VLOOKUP($C24,'Пр.взв'!$D$6:$M$76,8,0)))</f>
        <v>Краснодарский</v>
      </c>
      <c r="H24" s="309"/>
      <c r="I24" s="309"/>
      <c r="J24" s="309"/>
      <c r="K24" s="310"/>
      <c r="L24" s="361"/>
      <c r="M24" s="362">
        <f>IFERROR(__xludf.DUMMYFUNCTION("""COMPUTED_VALUE"""),47.0)</f>
        <v>47</v>
      </c>
      <c r="N24" s="356">
        <f>IFERROR(__xludf.DUMMYFUNCTION("""COMPUTED_VALUE"""),47.0)</f>
        <v>47</v>
      </c>
      <c r="O24" s="307" t="str">
        <f>IFERROR(__xludf.DUMMYFUNCTION("""COMPUTED_VALUE"""),"ПРАВЕДНИКОВ Илья")</f>
        <v>ПРАВЕДНИКОВ Илья</v>
      </c>
      <c r="P24" s="307" t="str">
        <f>IFERROR(__xludf.DUMMYFUNCTION("""COMPUTED_VALUE"""),"1р")</f>
        <v>1р</v>
      </c>
      <c r="Q24" s="307" t="str">
        <f>IFERROR(__xludf.DUMMYFUNCTION("""COMPUTED_VALUE"""),"ДВФО")</f>
        <v>ДВФО</v>
      </c>
      <c r="R24" s="307" t="str">
        <f>IFERROR(__xludf.DUMMYFUNCTION("""COMPUTED_VALUE"""),"Приморский")</f>
        <v>Приморский</v>
      </c>
      <c r="S24" s="309" t="str">
        <f>IFERROR(__xludf.DUMMYFUNCTION("""COMPUTED_VALUE"""),"")</f>
        <v/>
      </c>
      <c r="T24" s="309"/>
      <c r="U24" s="309"/>
      <c r="V24" s="310"/>
      <c r="W24" s="355"/>
      <c r="X24" s="356"/>
      <c r="Y24" s="307"/>
      <c r="Z24" s="307"/>
      <c r="AA24" s="307"/>
      <c r="AB24" s="307"/>
      <c r="AC24" s="309"/>
      <c r="AD24" s="309"/>
      <c r="AE24" s="309"/>
      <c r="AF24" s="310"/>
      <c r="AG24" s="355"/>
      <c r="AH24" s="356">
        <f>IFERROR(__xludf.DUMMYFUNCTION("""COMPUTED_VALUE"""),20.0)</f>
        <v>20</v>
      </c>
      <c r="AI24" s="307" t="str">
        <f>IF($AH24=0,"",(VLOOKUP($AH24,'Пр.взв'!$D$6:$J$71,2,0)))</f>
        <v>ХАЧАТРЯН Сос</v>
      </c>
      <c r="AJ24" s="307" t="str">
        <f>IF($AH24=0,"",(VLOOKUP($AH24,'Пр.взв'!$D$6:$J$71,5,0)))</f>
        <v>КМС</v>
      </c>
      <c r="AK24" s="307" t="str">
        <f>IF($AH24=0,"",(VLOOKUP($AH24,'Пр.взв'!$D$6:$J$71,6,0)))</f>
        <v>ЮФО</v>
      </c>
      <c r="AL24" s="307" t="str">
        <f>IF($AH24=0,"",(VLOOKUP($AH24,'Пр.взв'!$D$6:$M$71,8,0)))</f>
        <v>Краснодарский</v>
      </c>
      <c r="AM24" s="309"/>
      <c r="AN24" s="309"/>
      <c r="AO24" s="309"/>
      <c r="AP24" s="310"/>
    </row>
    <row r="25" ht="27.75" customHeight="1">
      <c r="A25" s="361">
        <v>21.0</v>
      </c>
      <c r="B25" s="351">
        <f t="shared" si="1"/>
        <v>21</v>
      </c>
      <c r="C25" s="352">
        <f>IFERROR(__xludf.DUMMYFUNCTION("""COMPUTED_VALUE"""),21.0)</f>
        <v>21</v>
      </c>
      <c r="D25" s="302" t="str">
        <f>IF(C25=0,"",(VLOOKUP($C25,'Пр.взв'!$D$6:$J$76,2,0)))</f>
        <v>РАСТОРГУЕВ  Владислав </v>
      </c>
      <c r="E25" s="302" t="str">
        <f>IF(C25=0,"",(VLOOKUP($C25,'Пр.взв'!$D$6:$J$76,5,0)))</f>
        <v>1р</v>
      </c>
      <c r="F25" s="302" t="str">
        <f>IF(C25=0,"",(VLOOKUP($C25,'Пр.взв'!$D$6:$M$76,6,0)))</f>
        <v>МОС</v>
      </c>
      <c r="G25" s="302" t="str">
        <f>IF(C25=0,"",(VLOOKUP($C25,'Пр.взв'!$D$6:$M$76,8,0)))</f>
        <v>Москва</v>
      </c>
      <c r="H25" s="304" t="str">
        <f>IF(C25=0,"", IF(C26=0,"СВОБОДЕН",""))</f>
        <v/>
      </c>
      <c r="I25" s="304"/>
      <c r="J25" s="304"/>
      <c r="K25" s="305"/>
      <c r="L25" s="361"/>
      <c r="M25" s="362">
        <f>IFERROR(__xludf.DUMMYFUNCTION("""COMPUTED_VALUE"""),49.0)</f>
        <v>49</v>
      </c>
      <c r="N25" s="352">
        <f>IFERROR(__xludf.DUMMYFUNCTION("""COMPUTED_VALUE"""),49.0)</f>
        <v>49</v>
      </c>
      <c r="O25" s="302" t="str">
        <f>IFERROR(__xludf.DUMMYFUNCTION("""COMPUTED_VALUE"""),"КИРИЯК Денис")</f>
        <v>КИРИЯК Денис</v>
      </c>
      <c r="P25" s="302" t="str">
        <f>IFERROR(__xludf.DUMMYFUNCTION("""COMPUTED_VALUE"""),"КМС")</f>
        <v>КМС</v>
      </c>
      <c r="Q25" s="302" t="str">
        <f>IFERROR(__xludf.DUMMYFUNCTION("""COMPUTED_VALUE"""),"МОС")</f>
        <v>МОС</v>
      </c>
      <c r="R25" s="302" t="str">
        <f>IFERROR(__xludf.DUMMYFUNCTION("""COMPUTED_VALUE"""),"Москва")</f>
        <v>Москва</v>
      </c>
      <c r="S25" s="304"/>
      <c r="T25" s="304"/>
      <c r="U25" s="304"/>
      <c r="V25" s="305"/>
      <c r="W25" s="355"/>
      <c r="X25" s="352"/>
      <c r="Y25" s="302"/>
      <c r="Z25" s="302"/>
      <c r="AA25" s="302"/>
      <c r="AB25" s="302"/>
      <c r="AC25" s="304"/>
      <c r="AD25" s="304"/>
      <c r="AE25" s="304"/>
      <c r="AF25" s="305"/>
      <c r="AG25" s="355"/>
      <c r="AH25" s="352">
        <f>IFERROR(__xludf.DUMMYFUNCTION("""COMPUTED_VALUE"""),21.0)</f>
        <v>21</v>
      </c>
      <c r="AI25" s="302" t="str">
        <f>IF($AH25=0,"",(VLOOKUP($AH25,'Пр.взв'!$D$6:$J$71,2,0)))</f>
        <v>РАСТОРГУЕВ  Владислав </v>
      </c>
      <c r="AJ25" s="302" t="str">
        <f>IF($AH25=0,"",(VLOOKUP($AH25,'Пр.взв'!$D$6:$J$71,5,0)))</f>
        <v>1р</v>
      </c>
      <c r="AK25" s="302" t="str">
        <f>IF($AH25=0,"",(VLOOKUP($AH25,'Пр.взв'!$D$6:$J$71,6,0)))</f>
        <v>МОС</v>
      </c>
      <c r="AL25" s="302" t="str">
        <f>IF($AH25=0,"",(VLOOKUP($AH25,'Пр.взв'!$D$6:$M$71,8,0)))</f>
        <v>Москва</v>
      </c>
      <c r="AM25" s="304" t="str">
        <f>IF(AH25=0,"", IF(AH26=0,"СВОБОДЕН",""))</f>
        <v/>
      </c>
      <c r="AN25" s="304"/>
      <c r="AO25" s="304"/>
      <c r="AP25" s="305"/>
    </row>
    <row r="26" ht="27.75" customHeight="1">
      <c r="A26" s="361">
        <v>22.0</v>
      </c>
      <c r="B26" s="351">
        <f t="shared" si="1"/>
        <v>23</v>
      </c>
      <c r="C26" s="356">
        <f>IFERROR(__xludf.DUMMYFUNCTION("""COMPUTED_VALUE"""),23.0)</f>
        <v>23</v>
      </c>
      <c r="D26" s="307" t="str">
        <f>IF(C26=0,"",(VLOOKUP($C26,'Пр.взв'!$D$6:$J$76,2,0)))</f>
        <v>АБАЕВ Оразеддин</v>
      </c>
      <c r="E26" s="307" t="str">
        <f>IF(C26=0,"",(VLOOKUP($C26,'Пр.взв'!$D$6:$J$76,5,0)))</f>
        <v>КМС</v>
      </c>
      <c r="F26" s="307" t="str">
        <f>IF(C26=0,"",(VLOOKUP($C26,'Пр.взв'!$D$6:$M$76,6,0)))</f>
        <v>ПФО</v>
      </c>
      <c r="G26" s="307" t="str">
        <f>IF(C26=0,"",(VLOOKUP($C26,'Пр.взв'!$D$6:$M$76,8,0)))</f>
        <v>Р.Татарстан</v>
      </c>
      <c r="H26" s="309"/>
      <c r="I26" s="309"/>
      <c r="J26" s="309"/>
      <c r="K26" s="310"/>
      <c r="L26" s="361"/>
      <c r="M26" s="362">
        <f>IFERROR(__xludf.DUMMYFUNCTION("""COMPUTED_VALUE"""),50.0)</f>
        <v>50</v>
      </c>
      <c r="N26" s="356">
        <f>IFERROR(__xludf.DUMMYFUNCTION("""COMPUTED_VALUE"""),50.0)</f>
        <v>50</v>
      </c>
      <c r="O26" s="307" t="str">
        <f>IFERROR(__xludf.DUMMYFUNCTION("""COMPUTED_VALUE"""),"ХАКУЙ Ислам")</f>
        <v>ХАКУЙ Ислам</v>
      </c>
      <c r="P26" s="307" t="str">
        <f>IFERROR(__xludf.DUMMYFUNCTION("""COMPUTED_VALUE"""),"КМС")</f>
        <v>КМС</v>
      </c>
      <c r="Q26" s="307" t="str">
        <f>IFERROR(__xludf.DUMMYFUNCTION("""COMPUTED_VALUE"""),"ЮФО")</f>
        <v>ЮФО</v>
      </c>
      <c r="R26" s="307" t="str">
        <f>IFERROR(__xludf.DUMMYFUNCTION("""COMPUTED_VALUE"""),"Р.Адыгея")</f>
        <v>Р.Адыгея</v>
      </c>
      <c r="S26" s="309" t="str">
        <f>IFERROR(__xludf.DUMMYFUNCTION("""COMPUTED_VALUE"""),"")</f>
        <v/>
      </c>
      <c r="T26" s="309"/>
      <c r="U26" s="309"/>
      <c r="V26" s="310"/>
      <c r="W26" s="355"/>
      <c r="X26" s="356"/>
      <c r="Y26" s="307"/>
      <c r="Z26" s="307"/>
      <c r="AA26" s="307"/>
      <c r="AB26" s="307"/>
      <c r="AC26" s="309"/>
      <c r="AD26" s="309"/>
      <c r="AE26" s="309"/>
      <c r="AF26" s="310"/>
      <c r="AG26" s="355"/>
      <c r="AH26" s="356">
        <f>IFERROR(__xludf.DUMMYFUNCTION("""COMPUTED_VALUE"""),23.0)</f>
        <v>23</v>
      </c>
      <c r="AI26" s="307" t="str">
        <f>IF($AH26=0,"",(VLOOKUP($AH26,'Пр.взв'!$D$6:$J$71,2,0)))</f>
        <v>АБАЕВ Оразеддин</v>
      </c>
      <c r="AJ26" s="307" t="str">
        <f>IF($AH26=0,"",(VLOOKUP($AH26,'Пр.взв'!$D$6:$J$71,5,0)))</f>
        <v>КМС</v>
      </c>
      <c r="AK26" s="307" t="str">
        <f>IF($AH26=0,"",(VLOOKUP($AH26,'Пр.взв'!$D$6:$J$71,6,0)))</f>
        <v>ПФО</v>
      </c>
      <c r="AL26" s="307" t="str">
        <f>IF($AH26=0,"",(VLOOKUP($AH26,'Пр.взв'!$D$6:$M$71,8,0)))</f>
        <v>Р.Татарстан</v>
      </c>
      <c r="AM26" s="309"/>
      <c r="AN26" s="309"/>
      <c r="AO26" s="309"/>
      <c r="AP26" s="310"/>
    </row>
    <row r="27" ht="27.75" customHeight="1">
      <c r="A27" s="361">
        <v>23.0</v>
      </c>
      <c r="B27" s="351">
        <f t="shared" si="1"/>
        <v>22</v>
      </c>
      <c r="C27" s="352">
        <f>IFERROR(__xludf.DUMMYFUNCTION("""COMPUTED_VALUE"""),22.0)</f>
        <v>22</v>
      </c>
      <c r="D27" s="302" t="str">
        <f>IF(C27=0,"",(VLOOKUP($C27,'Пр.взв'!$D$6:$J$76,2,0)))</f>
        <v>НАПИДЖЕВ Рахман</v>
      </c>
      <c r="E27" s="302" t="str">
        <f>IF(C27=0,"",(VLOOKUP($C27,'Пр.взв'!$D$6:$J$76,5,0)))</f>
        <v>1р</v>
      </c>
      <c r="F27" s="302" t="str">
        <f>IF(C27=0,"",(VLOOKUP($C27,'Пр.взв'!$D$6:$M$76,6,0)))</f>
        <v>СКФО</v>
      </c>
      <c r="G27" s="302" t="str">
        <f>IF(C27=0,"",(VLOOKUP($C27,'Пр.взв'!$D$6:$M$76,8,0)))</f>
        <v>КЧР</v>
      </c>
      <c r="H27" s="304" t="str">
        <f>IF(C27=0,"", IF(C28=0,"СВОБОДЕН",""))</f>
        <v/>
      </c>
      <c r="I27" s="304"/>
      <c r="J27" s="304"/>
      <c r="K27" s="305"/>
      <c r="L27" s="361"/>
      <c r="M27" s="362">
        <f>IFERROR(__xludf.DUMMYFUNCTION("""COMPUTED_VALUE"""),52.0)</f>
        <v>52</v>
      </c>
      <c r="N27" s="352">
        <f>IFERROR(__xludf.DUMMYFUNCTION("""COMPUTED_VALUE"""),52.0)</f>
        <v>52</v>
      </c>
      <c r="O27" s="302" t="str">
        <f>IFERROR(__xludf.DUMMYFUNCTION("""COMPUTED_VALUE"""),"РУШЕВ Николай")</f>
        <v>РУШЕВ Николай</v>
      </c>
      <c r="P27" s="302" t="str">
        <f>IFERROR(__xludf.DUMMYFUNCTION("""COMPUTED_VALUE"""),"КМС")</f>
        <v>КМС</v>
      </c>
      <c r="Q27" s="302" t="str">
        <f>IFERROR(__xludf.DUMMYFUNCTION("""COMPUTED_VALUE"""),"МОС")</f>
        <v>МОС</v>
      </c>
      <c r="R27" s="302" t="str">
        <f>IFERROR(__xludf.DUMMYFUNCTION("""COMPUTED_VALUE"""),"Москва")</f>
        <v>Москва</v>
      </c>
      <c r="S27" s="304"/>
      <c r="T27" s="304"/>
      <c r="U27" s="304"/>
      <c r="V27" s="305"/>
      <c r="W27" s="355"/>
      <c r="X27" s="352"/>
      <c r="Y27" s="302"/>
      <c r="Z27" s="302"/>
      <c r="AA27" s="302"/>
      <c r="AB27" s="302"/>
      <c r="AC27" s="304"/>
      <c r="AD27" s="304"/>
      <c r="AE27" s="304"/>
      <c r="AF27" s="305"/>
      <c r="AG27" s="355"/>
      <c r="AH27" s="352">
        <f>IFERROR(__xludf.DUMMYFUNCTION("""COMPUTED_VALUE"""),22.0)</f>
        <v>22</v>
      </c>
      <c r="AI27" s="302" t="str">
        <f>IF($AH27=0,"",(VLOOKUP($AH27,'Пр.взв'!$D$6:$J$71,2,0)))</f>
        <v>НАПИДЖЕВ Рахман</v>
      </c>
      <c r="AJ27" s="302" t="str">
        <f>IF($AH27=0,"",(VLOOKUP($AH27,'Пр.взв'!$D$6:$J$71,5,0)))</f>
        <v>1р</v>
      </c>
      <c r="AK27" s="302" t="str">
        <f>IF($AH27=0,"",(VLOOKUP($AH27,'Пр.взв'!$D$6:$J$71,6,0)))</f>
        <v>СКФО</v>
      </c>
      <c r="AL27" s="302" t="str">
        <f>IF($AH27=0,"",(VLOOKUP($AH27,'Пр.взв'!$D$6:$M$71,8,0)))</f>
        <v>КЧР</v>
      </c>
      <c r="AM27" s="304" t="str">
        <f>IF(AH27=0,"", IF(AH28=0,"СВОБОДЕН",""))</f>
        <v/>
      </c>
      <c r="AN27" s="304"/>
      <c r="AO27" s="304"/>
      <c r="AP27" s="305"/>
    </row>
    <row r="28" ht="27.75" customHeight="1">
      <c r="A28" s="361">
        <v>24.0</v>
      </c>
      <c r="B28" s="351">
        <f t="shared" si="1"/>
        <v>24</v>
      </c>
      <c r="C28" s="356">
        <f>IFERROR(__xludf.DUMMYFUNCTION("""COMPUTED_VALUE"""),24.0)</f>
        <v>24</v>
      </c>
      <c r="D28" s="307" t="str">
        <f>IF(C28=0,"",(VLOOKUP($C28,'Пр.взв'!$D$6:$J$76,2,0)))</f>
        <v>КОБЕЛЕВ Никита</v>
      </c>
      <c r="E28" s="307" t="str">
        <f>IF(C28=0,"",(VLOOKUP($C28,'Пр.взв'!$D$6:$J$76,5,0)))</f>
        <v>1р</v>
      </c>
      <c r="F28" s="307" t="str">
        <f>IF(C28=0,"",(VLOOKUP($C28,'Пр.взв'!$D$6:$M$76,6,0)))</f>
        <v>СФО</v>
      </c>
      <c r="G28" s="307" t="str">
        <f>IF(C28=0,"",(VLOOKUP($C28,'Пр.взв'!$D$6:$M$76,8,0)))</f>
        <v>Алтайский</v>
      </c>
      <c r="H28" s="309"/>
      <c r="I28" s="309"/>
      <c r="J28" s="309"/>
      <c r="K28" s="310"/>
      <c r="L28" s="361"/>
      <c r="M28" s="362">
        <f>IFERROR(__xludf.DUMMYFUNCTION("""COMPUTED_VALUE"""),51.0)</f>
        <v>51</v>
      </c>
      <c r="N28" s="356">
        <f>IFERROR(__xludf.DUMMYFUNCTION("""COMPUTED_VALUE"""),51.0)</f>
        <v>51</v>
      </c>
      <c r="O28" s="307" t="str">
        <f>IFERROR(__xludf.DUMMYFUNCTION("""COMPUTED_VALUE"""),"ГОРШКОВ Фёдор")</f>
        <v>ГОРШКОВ Фёдор</v>
      </c>
      <c r="P28" s="307" t="str">
        <f>IFERROR(__xludf.DUMMYFUNCTION("""COMPUTED_VALUE"""),"КМС")</f>
        <v>КМС</v>
      </c>
      <c r="Q28" s="307" t="str">
        <f>IFERROR(__xludf.DUMMYFUNCTION("""COMPUTED_VALUE"""),"СПБ")</f>
        <v>СПБ</v>
      </c>
      <c r="R28" s="307" t="str">
        <f>IFERROR(__xludf.DUMMYFUNCTION("""COMPUTED_VALUE"""),"Санкт-Петербург")</f>
        <v>Санкт-Петербург</v>
      </c>
      <c r="S28" s="309" t="str">
        <f>IFERROR(__xludf.DUMMYFUNCTION("""COMPUTED_VALUE"""),"")</f>
        <v/>
      </c>
      <c r="T28" s="309"/>
      <c r="U28" s="309"/>
      <c r="V28" s="310"/>
      <c r="W28" s="355"/>
      <c r="X28" s="356"/>
      <c r="Y28" s="307"/>
      <c r="Z28" s="307"/>
      <c r="AA28" s="307"/>
      <c r="AB28" s="307"/>
      <c r="AC28" s="309"/>
      <c r="AD28" s="309"/>
      <c r="AE28" s="309"/>
      <c r="AF28" s="310"/>
      <c r="AG28" s="355"/>
      <c r="AH28" s="356">
        <f>IFERROR(__xludf.DUMMYFUNCTION("""COMPUTED_VALUE"""),24.0)</f>
        <v>24</v>
      </c>
      <c r="AI28" s="307" t="str">
        <f>IF($AH28=0,"",(VLOOKUP($AH28,'Пр.взв'!$D$6:$J$71,2,0)))</f>
        <v>КОБЕЛЕВ Никита</v>
      </c>
      <c r="AJ28" s="307" t="str">
        <f>IF($AH28=0,"",(VLOOKUP($AH28,'Пр.взв'!$D$6:$J$71,5,0)))</f>
        <v>1р</v>
      </c>
      <c r="AK28" s="307" t="str">
        <f>IF($AH28=0,"",(VLOOKUP($AH28,'Пр.взв'!$D$6:$J$71,6,0)))</f>
        <v>СФО</v>
      </c>
      <c r="AL28" s="307" t="str">
        <f>IF($AH28=0,"",(VLOOKUP($AH28,'Пр.взв'!$D$6:$M$71,8,0)))</f>
        <v>Алтайский</v>
      </c>
      <c r="AM28" s="309"/>
      <c r="AN28" s="309"/>
      <c r="AO28" s="309"/>
      <c r="AP28" s="310"/>
    </row>
    <row r="29" ht="27.75" customHeight="1">
      <c r="A29" s="361">
        <v>25.0</v>
      </c>
      <c r="B29" s="351">
        <f t="shared" si="1"/>
        <v>25</v>
      </c>
      <c r="C29" s="352">
        <f>IFERROR(__xludf.DUMMYFUNCTION("""COMPUTED_VALUE"""),25.0)</f>
        <v>25</v>
      </c>
      <c r="D29" s="302" t="str">
        <f>IF(C29=0,"",(VLOOKUP($C29,'Пр.взв'!$D$6:$J$76,2,0)))</f>
        <v>ФЕДУРОВ  Иван </v>
      </c>
      <c r="E29" s="302" t="str">
        <f>IF(C29=0,"",(VLOOKUP($C29,'Пр.взв'!$D$6:$J$76,5,0)))</f>
        <v>1р</v>
      </c>
      <c r="F29" s="302" t="str">
        <f>IF(C29=0,"",(VLOOKUP($C29,'Пр.взв'!$D$6:$M$76,6,0)))</f>
        <v>ЦФО</v>
      </c>
      <c r="G29" s="302" t="str">
        <f>IF(C29=0,"",(VLOOKUP($C29,'Пр.взв'!$D$6:$M$76,8,0)))</f>
        <v>Рязанская</v>
      </c>
      <c r="H29" s="304" t="str">
        <f>IF(C29=0,"", IF(C30=0,"СВОБОДЕН",""))</f>
        <v/>
      </c>
      <c r="I29" s="304"/>
      <c r="J29" s="304"/>
      <c r="K29" s="305"/>
      <c r="L29" s="361"/>
      <c r="M29" s="362">
        <f>IFERROR(__xludf.DUMMYFUNCTION("""COMPUTED_VALUE"""),53.0)</f>
        <v>53</v>
      </c>
      <c r="N29" s="352">
        <f>IFERROR(__xludf.DUMMYFUNCTION("""COMPUTED_VALUE"""),53.0)</f>
        <v>53</v>
      </c>
      <c r="O29" s="302" t="str">
        <f>IFERROR(__xludf.DUMMYFUNCTION("""COMPUTED_VALUE"""),"ГОЛОВ Глеб")</f>
        <v>ГОЛОВ Глеб</v>
      </c>
      <c r="P29" s="302" t="str">
        <f>IFERROR(__xludf.DUMMYFUNCTION("""COMPUTED_VALUE"""),"КМС")</f>
        <v>КМС</v>
      </c>
      <c r="Q29" s="302" t="str">
        <f>IFERROR(__xludf.DUMMYFUNCTION("""COMPUTED_VALUE"""),"ПФО")</f>
        <v>ПФО</v>
      </c>
      <c r="R29" s="302" t="str">
        <f>IFERROR(__xludf.DUMMYFUNCTION("""COMPUTED_VALUE"""),"Чувашская")</f>
        <v>Чувашская</v>
      </c>
      <c r="S29" s="304"/>
      <c r="T29" s="304"/>
      <c r="U29" s="304"/>
      <c r="V29" s="305"/>
      <c r="W29" s="355"/>
      <c r="X29" s="352"/>
      <c r="Y29" s="302"/>
      <c r="Z29" s="302"/>
      <c r="AA29" s="302"/>
      <c r="AB29" s="302"/>
      <c r="AC29" s="304"/>
      <c r="AD29" s="304"/>
      <c r="AE29" s="304"/>
      <c r="AF29" s="305"/>
      <c r="AG29" s="355"/>
      <c r="AH29" s="352">
        <f>IFERROR(__xludf.DUMMYFUNCTION("""COMPUTED_VALUE"""),25.0)</f>
        <v>25</v>
      </c>
      <c r="AI29" s="302" t="str">
        <f>IF($AH29=0,"",(VLOOKUP($AH29,'Пр.взв'!$D$6:$J$71,2,0)))</f>
        <v>ФЕДУРОВ  Иван </v>
      </c>
      <c r="AJ29" s="302" t="str">
        <f>IF($AH29=0,"",(VLOOKUP($AH29,'Пр.взв'!$D$6:$J$71,5,0)))</f>
        <v>1р</v>
      </c>
      <c r="AK29" s="302" t="str">
        <f>IF($AH29=0,"",(VLOOKUP($AH29,'Пр.взв'!$D$6:$J$71,6,0)))</f>
        <v>ЦФО</v>
      </c>
      <c r="AL29" s="302" t="str">
        <f>IF($AH29=0,"",(VLOOKUP($AH29,'Пр.взв'!$D$6:$M$71,8,0)))</f>
        <v>Рязанская</v>
      </c>
      <c r="AM29" s="304" t="str">
        <f>IF(AH29=0,"", IF(AH30=0,"СВОБОДЕН",""))</f>
        <v/>
      </c>
      <c r="AN29" s="304"/>
      <c r="AO29" s="304"/>
      <c r="AP29" s="305"/>
    </row>
    <row r="30" ht="27.75" customHeight="1">
      <c r="A30" s="361">
        <v>26.0</v>
      </c>
      <c r="B30" s="351">
        <f t="shared" si="1"/>
        <v>27</v>
      </c>
      <c r="C30" s="356">
        <f>IFERROR(__xludf.DUMMYFUNCTION("""COMPUTED_VALUE"""),27.0)</f>
        <v>27</v>
      </c>
      <c r="D30" s="307" t="str">
        <f>IF(C30=0,"",(VLOOKUP($C30,'Пр.взв'!$D$6:$J$76,2,0)))</f>
        <v>МОКРУШНИКОВ Даниил</v>
      </c>
      <c r="E30" s="307" t="str">
        <f>IF(C30=0,"",(VLOOKUP($C30,'Пр.взв'!$D$6:$J$76,5,0)))</f>
        <v>КМС</v>
      </c>
      <c r="F30" s="307" t="str">
        <f>IF(C30=0,"",(VLOOKUP($C30,'Пр.взв'!$D$6:$M$76,6,0)))</f>
        <v>УФО</v>
      </c>
      <c r="G30" s="307" t="str">
        <f>IF(C30=0,"",(VLOOKUP($C30,'Пр.взв'!$D$6:$M$76,8,0)))</f>
        <v>Свердловская</v>
      </c>
      <c r="H30" s="309"/>
      <c r="I30" s="309"/>
      <c r="J30" s="309"/>
      <c r="K30" s="310"/>
      <c r="L30" s="361"/>
      <c r="M30" s="362">
        <f>IFERROR(__xludf.DUMMYFUNCTION("""COMPUTED_VALUE"""),54.0)</f>
        <v>54</v>
      </c>
      <c r="N30" s="356">
        <f>IFERROR(__xludf.DUMMYFUNCTION("""COMPUTED_VALUE"""),54.0)</f>
        <v>54</v>
      </c>
      <c r="O30" s="307" t="str">
        <f>IFERROR(__xludf.DUMMYFUNCTION("""COMPUTED_VALUE"""),"ЛОГИНОВ  Владимир ")</f>
        <v>ЛОГИНОВ  Владимир </v>
      </c>
      <c r="P30" s="307" t="str">
        <f>IFERROR(__xludf.DUMMYFUNCTION("""COMPUTED_VALUE"""),"КМС")</f>
        <v>КМС</v>
      </c>
      <c r="Q30" s="307" t="str">
        <f>IFERROR(__xludf.DUMMYFUNCTION("""COMPUTED_VALUE"""),"ПФО")</f>
        <v>ПФО</v>
      </c>
      <c r="R30" s="307" t="str">
        <f>IFERROR(__xludf.DUMMYFUNCTION("""COMPUTED_VALUE"""),"Саратовская")</f>
        <v>Саратовская</v>
      </c>
      <c r="S30" s="309" t="str">
        <f>IFERROR(__xludf.DUMMYFUNCTION("""COMPUTED_VALUE"""),"")</f>
        <v/>
      </c>
      <c r="T30" s="309"/>
      <c r="U30" s="309"/>
      <c r="V30" s="310"/>
      <c r="W30" s="355"/>
      <c r="X30" s="356"/>
      <c r="Y30" s="307"/>
      <c r="Z30" s="307"/>
      <c r="AA30" s="307"/>
      <c r="AB30" s="307"/>
      <c r="AC30" s="309"/>
      <c r="AD30" s="309"/>
      <c r="AE30" s="309"/>
      <c r="AF30" s="310"/>
      <c r="AG30" s="355"/>
      <c r="AH30" s="356">
        <f>IFERROR(__xludf.DUMMYFUNCTION("""COMPUTED_VALUE"""),27.0)</f>
        <v>27</v>
      </c>
      <c r="AI30" s="307" t="str">
        <f>IF($AH30=0,"",(VLOOKUP($AH30,'Пр.взв'!$D$6:$J$71,2,0)))</f>
        <v>МОКРУШНИКОВ Даниил</v>
      </c>
      <c r="AJ30" s="307" t="str">
        <f>IF($AH30=0,"",(VLOOKUP($AH30,'Пр.взв'!$D$6:$J$71,5,0)))</f>
        <v>КМС</v>
      </c>
      <c r="AK30" s="307" t="str">
        <f>IF($AH30=0,"",(VLOOKUP($AH30,'Пр.взв'!$D$6:$J$71,6,0)))</f>
        <v>УФО</v>
      </c>
      <c r="AL30" s="307" t="str">
        <f>IF($AH30=0,"",(VLOOKUP($AH30,'Пр.взв'!$D$6:$M$71,8,0)))</f>
        <v>Свердловская</v>
      </c>
      <c r="AM30" s="309"/>
      <c r="AN30" s="309"/>
      <c r="AO30" s="309"/>
      <c r="AP30" s="310"/>
    </row>
    <row r="31" ht="27.75" customHeight="1">
      <c r="A31" s="361">
        <v>27.0</v>
      </c>
      <c r="B31" s="351">
        <f t="shared" si="1"/>
        <v>26</v>
      </c>
      <c r="C31" s="352">
        <f>IFERROR(__xludf.DUMMYFUNCTION("""COMPUTED_VALUE"""),26.0)</f>
        <v>26</v>
      </c>
      <c r="D31" s="302" t="str">
        <f>IF(C31=0,"",(VLOOKUP($C31,'Пр.взв'!$D$6:$J$76,2,0)))</f>
        <v>РЫБИН Павел</v>
      </c>
      <c r="E31" s="302" t="str">
        <f>IF(C31=0,"",(VLOOKUP($C31,'Пр.взв'!$D$6:$J$76,5,0)))</f>
        <v>1р</v>
      </c>
      <c r="F31" s="302" t="str">
        <f>IF(C31=0,"",(VLOOKUP($C31,'Пр.взв'!$D$6:$M$76,6,0)))</f>
        <v>ЦФО</v>
      </c>
      <c r="G31" s="302" t="str">
        <f>IF(C31=0,"",(VLOOKUP($C31,'Пр.взв'!$D$6:$M$76,8,0)))</f>
        <v>Московская</v>
      </c>
      <c r="H31" s="304" t="str">
        <f>IF(C31=0,"", IF(C32=0,"СВОБОДЕН",""))</f>
        <v/>
      </c>
      <c r="I31" s="304"/>
      <c r="J31" s="304"/>
      <c r="K31" s="305"/>
      <c r="L31" s="361"/>
      <c r="M31" s="362">
        <f>IFERROR(__xludf.DUMMYFUNCTION("""COMPUTED_VALUE"""),56.0)</f>
        <v>56</v>
      </c>
      <c r="N31" s="352">
        <f>IFERROR(__xludf.DUMMYFUNCTION("""COMPUTED_VALUE"""),56.0)</f>
        <v>56</v>
      </c>
      <c r="O31" s="302" t="str">
        <f>IFERROR(__xludf.DUMMYFUNCTION("""COMPUTED_VALUE"""),"ГРУЗАН Денис")</f>
        <v>ГРУЗАН Денис</v>
      </c>
      <c r="P31" s="302" t="str">
        <f>IFERROR(__xludf.DUMMYFUNCTION("""COMPUTED_VALUE"""),"КМС")</f>
        <v>КМС</v>
      </c>
      <c r="Q31" s="302" t="str">
        <f>IFERROR(__xludf.DUMMYFUNCTION("""COMPUTED_VALUE"""),"УФО")</f>
        <v>УФО</v>
      </c>
      <c r="R31" s="302" t="str">
        <f>IFERROR(__xludf.DUMMYFUNCTION("""COMPUTED_VALUE"""),"Свердловская")</f>
        <v>Свердловская</v>
      </c>
      <c r="S31" s="304"/>
      <c r="T31" s="304"/>
      <c r="U31" s="304"/>
      <c r="V31" s="305"/>
      <c r="W31" s="355"/>
      <c r="X31" s="352"/>
      <c r="Y31" s="302"/>
      <c r="Z31" s="302"/>
      <c r="AA31" s="302"/>
      <c r="AB31" s="302"/>
      <c r="AC31" s="304"/>
      <c r="AD31" s="304"/>
      <c r="AE31" s="304"/>
      <c r="AF31" s="305"/>
      <c r="AG31" s="355"/>
      <c r="AH31" s="352">
        <f>IFERROR(__xludf.DUMMYFUNCTION("""COMPUTED_VALUE"""),26.0)</f>
        <v>26</v>
      </c>
      <c r="AI31" s="302" t="str">
        <f>IF($AH31=0,"",(VLOOKUP($AH31,'Пр.взв'!$D$6:$J$71,2,0)))</f>
        <v>РЫБИН Павел</v>
      </c>
      <c r="AJ31" s="302" t="str">
        <f>IF($AH31=0,"",(VLOOKUP($AH31,'Пр.взв'!$D$6:$J$71,5,0)))</f>
        <v>1р</v>
      </c>
      <c r="AK31" s="302" t="str">
        <f>IF($AH31=0,"",(VLOOKUP($AH31,'Пр.взв'!$D$6:$J$71,6,0)))</f>
        <v>ЦФО</v>
      </c>
      <c r="AL31" s="302" t="str">
        <f>IF($AH31=0,"",(VLOOKUP($AH31,'Пр.взв'!$D$6:$M$71,8,0)))</f>
        <v>Московская</v>
      </c>
      <c r="AM31" s="304" t="str">
        <f>IF(AH31=0,"", IF(AH32=0,"СВОБОДЕН",""))</f>
        <v/>
      </c>
      <c r="AN31" s="304"/>
      <c r="AO31" s="304"/>
      <c r="AP31" s="305"/>
    </row>
    <row r="32" ht="27.75" customHeight="1">
      <c r="A32" s="361">
        <v>28.0</v>
      </c>
      <c r="B32" s="351">
        <f t="shared" si="1"/>
        <v>29</v>
      </c>
      <c r="C32" s="356">
        <f>IFERROR(__xludf.DUMMYFUNCTION("""COMPUTED_VALUE"""),29.0)</f>
        <v>29</v>
      </c>
      <c r="D32" s="307" t="str">
        <f>IF(C32=0,"",(VLOOKUP($C32,'Пр.взв'!$D$6:$J$76,2,0)))</f>
        <v>ГАСЫМОВ  Аслан </v>
      </c>
      <c r="E32" s="307" t="str">
        <f>IF(C32=0,"",(VLOOKUP($C32,'Пр.взв'!$D$6:$J$76,5,0)))</f>
        <v>КМС</v>
      </c>
      <c r="F32" s="307" t="str">
        <f>IF(C32=0,"",(VLOOKUP($C32,'Пр.взв'!$D$6:$M$76,6,0)))</f>
        <v>МОС</v>
      </c>
      <c r="G32" s="307" t="str">
        <f>IF(C32=0,"",(VLOOKUP($C32,'Пр.взв'!$D$6:$M$76,8,0)))</f>
        <v>Москва</v>
      </c>
      <c r="H32" s="309"/>
      <c r="I32" s="309"/>
      <c r="J32" s="309"/>
      <c r="K32" s="310"/>
      <c r="L32" s="361"/>
      <c r="M32" s="362">
        <f>IFERROR(__xludf.DUMMYFUNCTION("""COMPUTED_VALUE"""),55.0)</f>
        <v>55</v>
      </c>
      <c r="N32" s="356">
        <f>IFERROR(__xludf.DUMMYFUNCTION("""COMPUTED_VALUE"""),55.0)</f>
        <v>55</v>
      </c>
      <c r="O32" s="307" t="str">
        <f>IFERROR(__xludf.DUMMYFUNCTION("""COMPUTED_VALUE"""),"САМОЙЛОВ Иван")</f>
        <v>САМОЙЛОВ Иван</v>
      </c>
      <c r="P32" s="307" t="str">
        <f>IFERROR(__xludf.DUMMYFUNCTION("""COMPUTED_VALUE"""),"1р")</f>
        <v>1р</v>
      </c>
      <c r="Q32" s="307" t="str">
        <f>IFERROR(__xludf.DUMMYFUNCTION("""COMPUTED_VALUE"""),"ЦФО")</f>
        <v>ЦФО</v>
      </c>
      <c r="R32" s="307" t="str">
        <f>IFERROR(__xludf.DUMMYFUNCTION("""COMPUTED_VALUE"""),"Рязанская")</f>
        <v>Рязанская</v>
      </c>
      <c r="S32" s="309" t="str">
        <f>IFERROR(__xludf.DUMMYFUNCTION("""COMPUTED_VALUE"""),"")</f>
        <v/>
      </c>
      <c r="T32" s="309"/>
      <c r="U32" s="309"/>
      <c r="V32" s="310"/>
      <c r="W32" s="355"/>
      <c r="X32" s="356"/>
      <c r="Y32" s="307"/>
      <c r="Z32" s="307"/>
      <c r="AA32" s="307"/>
      <c r="AB32" s="307"/>
      <c r="AC32" s="309"/>
      <c r="AD32" s="309"/>
      <c r="AE32" s="309"/>
      <c r="AF32" s="310"/>
      <c r="AG32" s="355"/>
      <c r="AH32" s="356">
        <f>IFERROR(__xludf.DUMMYFUNCTION("""COMPUTED_VALUE"""),29.0)</f>
        <v>29</v>
      </c>
      <c r="AI32" s="307" t="str">
        <f>IF($AH32=0,"",(VLOOKUP($AH32,'Пр.взв'!$D$6:$J$71,2,0)))</f>
        <v>ГАСЫМОВ  Аслан </v>
      </c>
      <c r="AJ32" s="307" t="str">
        <f>IF($AH32=0,"",(VLOOKUP($AH32,'Пр.взв'!$D$6:$J$71,5,0)))</f>
        <v>КМС</v>
      </c>
      <c r="AK32" s="307" t="str">
        <f>IF($AH32=0,"",(VLOOKUP($AH32,'Пр.взв'!$D$6:$J$71,6,0)))</f>
        <v>МОС</v>
      </c>
      <c r="AL32" s="307" t="str">
        <f>IF($AH32=0,"",(VLOOKUP($AH32,'Пр.взв'!$D$6:$M$71,8,0)))</f>
        <v>Москва</v>
      </c>
      <c r="AM32" s="309"/>
      <c r="AN32" s="309"/>
      <c r="AO32" s="309"/>
      <c r="AP32" s="310"/>
    </row>
    <row r="33" ht="27.75" customHeight="1">
      <c r="A33" s="361">
        <v>29.0</v>
      </c>
      <c r="B33" s="351">
        <f t="shared" si="1"/>
        <v>28</v>
      </c>
      <c r="C33" s="352">
        <f>IFERROR(__xludf.DUMMYFUNCTION("""COMPUTED_VALUE"""),28.0)</f>
        <v>28</v>
      </c>
      <c r="D33" s="302" t="str">
        <f>IF(C33=0,"",(VLOOKUP($C33,'Пр.взв'!$D$6:$J$76,2,0)))</f>
        <v>МЕЛКОНЯН  Аршак</v>
      </c>
      <c r="E33" s="302" t="str">
        <f>IF(C33=0,"",(VLOOKUP($C33,'Пр.взв'!$D$6:$J$76,5,0)))</f>
        <v>КМС</v>
      </c>
      <c r="F33" s="302" t="str">
        <f>IF(C33=0,"",(VLOOKUP($C33,'Пр.взв'!$D$6:$M$76,6,0)))</f>
        <v>ДВФО</v>
      </c>
      <c r="G33" s="302" t="str">
        <f>IF(C33=0,"",(VLOOKUP($C33,'Пр.взв'!$D$6:$M$76,8,0)))</f>
        <v>Амурская</v>
      </c>
      <c r="H33" s="304" t="str">
        <f>IF(C33=0,"", IF(C34=0,"СВОБОДЕН",""))</f>
        <v>СВОБОДЕН</v>
      </c>
      <c r="I33" s="304"/>
      <c r="J33" s="304"/>
      <c r="K33" s="305"/>
      <c r="L33" s="361"/>
      <c r="M33" s="362">
        <f>IFERROR(__xludf.DUMMYFUNCTION("""COMPUTED_VALUE"""),58.0)</f>
        <v>58</v>
      </c>
      <c r="N33" s="352">
        <f>IFERROR(__xludf.DUMMYFUNCTION("""COMPUTED_VALUE"""),58.0)</f>
        <v>58</v>
      </c>
      <c r="O33" s="302" t="str">
        <f>IFERROR(__xludf.DUMMYFUNCTION("""COMPUTED_VALUE"""),"ШАРИПОВ Магомед-Шамиль ")</f>
        <v>ШАРИПОВ Магомед-Шамиль </v>
      </c>
      <c r="P33" s="302" t="str">
        <f>IFERROR(__xludf.DUMMYFUNCTION("""COMPUTED_VALUE"""),"КМС")</f>
        <v>КМС</v>
      </c>
      <c r="Q33" s="302" t="str">
        <f>IFERROR(__xludf.DUMMYFUNCTION("""COMPUTED_VALUE"""),"СКФО")</f>
        <v>СКФО</v>
      </c>
      <c r="R33" s="302" t="str">
        <f>IFERROR(__xludf.DUMMYFUNCTION("""COMPUTED_VALUE"""),"Р.Дагестан")</f>
        <v>Р.Дагестан</v>
      </c>
      <c r="S33" s="304"/>
      <c r="T33" s="304"/>
      <c r="U33" s="304"/>
      <c r="V33" s="305"/>
      <c r="W33" s="355"/>
      <c r="X33" s="352" t="s">
        <v>361</v>
      </c>
      <c r="Y33" s="302"/>
      <c r="Z33" s="302"/>
      <c r="AA33" s="302"/>
      <c r="AB33" s="302"/>
      <c r="AC33" s="304"/>
      <c r="AD33" s="304"/>
      <c r="AE33" s="304"/>
      <c r="AF33" s="305"/>
      <c r="AG33" s="355"/>
      <c r="AH33" s="352">
        <f>IFERROR(__xludf.DUMMYFUNCTION("""COMPUTED_VALUE"""),28.0)</f>
        <v>28</v>
      </c>
      <c r="AI33" s="302" t="str">
        <f>IF($AH33=0,"",(VLOOKUP($AH33,'Пр.взв'!$D$6:$J$71,2,0)))</f>
        <v>МЕЛКОНЯН  Аршак</v>
      </c>
      <c r="AJ33" s="302" t="str">
        <f>IF($AH33=0,"",(VLOOKUP($AH33,'Пр.взв'!$D$6:$J$71,5,0)))</f>
        <v>КМС</v>
      </c>
      <c r="AK33" s="302" t="str">
        <f>IF($AH33=0,"",(VLOOKUP($AH33,'Пр.взв'!$D$6:$J$71,6,0)))</f>
        <v>ДВФО</v>
      </c>
      <c r="AL33" s="302" t="str">
        <f>IF($AH33=0,"",(VLOOKUP($AH33,'Пр.взв'!$D$6:$M$71,8,0)))</f>
        <v>Амурская</v>
      </c>
      <c r="AM33" s="304" t="str">
        <f>IF(AH33=0,"", IF(AH34=0,"СВОБОДЕН",""))</f>
        <v>СВОБОДЕН</v>
      </c>
      <c r="AN33" s="304"/>
      <c r="AO33" s="304"/>
      <c r="AP33" s="305"/>
    </row>
    <row r="34" ht="27.75" customHeight="1">
      <c r="A34" s="361">
        <v>30.0</v>
      </c>
      <c r="B34" s="348">
        <f t="shared" si="1"/>
        <v>30.5</v>
      </c>
      <c r="C34" s="356">
        <f>IFERROR(__xludf.DUMMYFUNCTION("""COMPUTED_VALUE"""),0.0)</f>
        <v>0</v>
      </c>
      <c r="D34" s="307" t="str">
        <f>IF(C34=0,"",(VLOOKUP($C34,'Пр.взв'!$D$6:$J$76,2,0)))</f>
        <v/>
      </c>
      <c r="E34" s="307" t="str">
        <f>IF(C34=0,"",(VLOOKUP($C34,'Пр.взв'!$D$6:$J$76,5,0)))</f>
        <v/>
      </c>
      <c r="F34" s="307" t="str">
        <f>IF(C34=0,"",(VLOOKUP($C34,'Пр.взв'!$D$6:$M$76,6,0)))</f>
        <v/>
      </c>
      <c r="G34" s="307" t="str">
        <f>IF(C34=0,"",(VLOOKUP($C34,'Пр.взв'!$D$6:$M$76,8,0)))</f>
        <v/>
      </c>
      <c r="H34" s="309"/>
      <c r="I34" s="309"/>
      <c r="J34" s="309"/>
      <c r="K34" s="310"/>
      <c r="L34" s="361"/>
      <c r="M34" s="362">
        <f>IFERROR(__xludf.DUMMYFUNCTION("""COMPUTED_VALUE"""),57.0)</f>
        <v>57</v>
      </c>
      <c r="N34" s="356">
        <f>IFERROR(__xludf.DUMMYFUNCTION("""COMPUTED_VALUE"""),57.0)</f>
        <v>57</v>
      </c>
      <c r="O34" s="307" t="str">
        <f>IFERROR(__xludf.DUMMYFUNCTION("""COMPUTED_VALUE"""),"ШВЕЦ Павел ")</f>
        <v>ШВЕЦ Павел </v>
      </c>
      <c r="P34" s="307" t="str">
        <f>IFERROR(__xludf.DUMMYFUNCTION("""COMPUTED_VALUE"""),"1р")</f>
        <v>1р</v>
      </c>
      <c r="Q34" s="307" t="str">
        <f>IFERROR(__xludf.DUMMYFUNCTION("""COMPUTED_VALUE"""),"ЦФО")</f>
        <v>ЦФО</v>
      </c>
      <c r="R34" s="307" t="str">
        <f>IFERROR(__xludf.DUMMYFUNCTION("""COMPUTED_VALUE"""),"Брянская")</f>
        <v>Брянская</v>
      </c>
      <c r="S34" s="309" t="str">
        <f>IFERROR(__xludf.DUMMYFUNCTION("""COMPUTED_VALUE"""),"СВОБОДЕН")</f>
        <v>СВОБОДЕН</v>
      </c>
      <c r="T34" s="309"/>
      <c r="U34" s="309"/>
      <c r="V34" s="310"/>
      <c r="W34" s="355"/>
      <c r="X34" s="356"/>
      <c r="Y34" s="307"/>
      <c r="Z34" s="307"/>
      <c r="AA34" s="307"/>
      <c r="AB34" s="307"/>
      <c r="AC34" s="309"/>
      <c r="AD34" s="309"/>
      <c r="AE34" s="309"/>
      <c r="AF34" s="310"/>
      <c r="AG34" s="355"/>
      <c r="AH34" s="356">
        <f>IFERROR(__xludf.DUMMYFUNCTION("""COMPUTED_VALUE"""),0.0)</f>
        <v>0</v>
      </c>
      <c r="AI34" s="307" t="str">
        <f>IF($AH34=0,"",(VLOOKUP($AH34,'Пр.взв'!$D$6:$J$71,2,0)))</f>
        <v/>
      </c>
      <c r="AJ34" s="307" t="str">
        <f>IF($AH34=0,"",(VLOOKUP($AH34,'Пр.взв'!$D$6:$J$71,5,0)))</f>
        <v/>
      </c>
      <c r="AK34" s="307" t="str">
        <f>IF($AH34=0,"",(VLOOKUP($AH34,'Пр.взв'!$D$6:$J$71,6,0)))</f>
        <v/>
      </c>
      <c r="AL34" s="307" t="str">
        <f>IF($AH34=0,"",(VLOOKUP($AH34,'Пр.взв'!$D$6:$M$71,8,0)))</f>
        <v/>
      </c>
      <c r="AM34" s="309"/>
      <c r="AN34" s="309"/>
      <c r="AO34" s="309"/>
      <c r="AP34" s="310"/>
    </row>
    <row r="35" ht="27.75" customHeight="1">
      <c r="A35" s="361">
        <v>31.0</v>
      </c>
      <c r="B35" s="351">
        <f t="shared" si="1"/>
        <v>30</v>
      </c>
      <c r="C35" s="352">
        <f>IFERROR(__xludf.DUMMYFUNCTION("""COMPUTED_VALUE"""),30.0)</f>
        <v>30</v>
      </c>
      <c r="D35" s="302" t="str">
        <f>IF(C35=0,"",(VLOOKUP($C35,'Пр.взв'!$D$6:$J$76,2,0)))</f>
        <v>ШАМШИН Егор</v>
      </c>
      <c r="E35" s="302" t="str">
        <f>IF(C35=0,"",(VLOOKUP($C35,'Пр.взв'!$D$6:$J$76,5,0)))</f>
        <v>КМС</v>
      </c>
      <c r="F35" s="302" t="str">
        <f>IF(C35=0,"",(VLOOKUP($C35,'Пр.взв'!$D$6:$M$76,6,0)))</f>
        <v>ПФО</v>
      </c>
      <c r="G35" s="302" t="str">
        <f>IF(C35=0,"",(VLOOKUP($C35,'Пр.взв'!$D$6:$M$76,8,0)))</f>
        <v>Нижегородская</v>
      </c>
      <c r="H35" s="304" t="str">
        <f>IF(C35=0,"", IF(C36=0,"СВОБОДЕН",""))</f>
        <v/>
      </c>
      <c r="I35" s="304"/>
      <c r="J35" s="304"/>
      <c r="K35" s="305"/>
      <c r="L35" s="361"/>
      <c r="M35" s="361">
        <f>IFERROR(__xludf.DUMMYFUNCTION("""COMPUTED_VALUE"""),30.5)</f>
        <v>30.5</v>
      </c>
      <c r="N35" s="352">
        <f>IFERROR(__xludf.DUMMYFUNCTION("""COMPUTED_VALUE"""),0.0)</f>
        <v>0</v>
      </c>
      <c r="O35" s="302" t="str">
        <f>IFERROR(__xludf.DUMMYFUNCTION("""COMPUTED_VALUE"""),"")</f>
        <v/>
      </c>
      <c r="P35" s="302" t="str">
        <f>IFERROR(__xludf.DUMMYFUNCTION("""COMPUTED_VALUE"""),"")</f>
        <v/>
      </c>
      <c r="Q35" s="302" t="str">
        <f>IFERROR(__xludf.DUMMYFUNCTION("""COMPUTED_VALUE"""),"")</f>
        <v/>
      </c>
      <c r="R35" s="302" t="str">
        <f>IFERROR(__xludf.DUMMYFUNCTION("""COMPUTED_VALUE"""),"")</f>
        <v/>
      </c>
      <c r="S35" s="304"/>
      <c r="T35" s="304"/>
      <c r="U35" s="304"/>
      <c r="V35" s="305"/>
      <c r="W35" s="355"/>
      <c r="X35" s="352"/>
      <c r="Y35" s="302"/>
      <c r="Z35" s="302"/>
      <c r="AA35" s="302"/>
      <c r="AB35" s="302"/>
      <c r="AC35" s="304"/>
      <c r="AD35" s="304"/>
      <c r="AE35" s="304"/>
      <c r="AF35" s="305"/>
      <c r="AG35" s="355"/>
      <c r="AH35" s="352">
        <f>IFERROR(__xludf.DUMMYFUNCTION("""COMPUTED_VALUE"""),30.0)</f>
        <v>30</v>
      </c>
      <c r="AI35" s="302" t="str">
        <f>IF($AH35=0,"",(VLOOKUP($AH35,'Пр.взв'!$D$6:$J$71,2,0)))</f>
        <v>ШАМШИН Егор</v>
      </c>
      <c r="AJ35" s="302" t="str">
        <f>IF($AH35=0,"",(VLOOKUP($AH35,'Пр.взв'!$D$6:$J$71,5,0)))</f>
        <v>КМС</v>
      </c>
      <c r="AK35" s="302" t="str">
        <f>IF($AH35=0,"",(VLOOKUP($AH35,'Пр.взв'!$D$6:$J$71,6,0)))</f>
        <v>ПФО</v>
      </c>
      <c r="AL35" s="302" t="str">
        <f>IF($AH35=0,"",(VLOOKUP($AH35,'Пр.взв'!$D$6:$M$71,8,0)))</f>
        <v>Нижегородская</v>
      </c>
      <c r="AM35" s="304" t="str">
        <f>IF(AH35=0,"", IF(AH36=0,"СВОБОДЕН",""))</f>
        <v/>
      </c>
      <c r="AN35" s="304"/>
      <c r="AO35" s="304"/>
      <c r="AP35" s="305"/>
    </row>
    <row r="36" ht="27.75" customHeight="1">
      <c r="A36" s="361">
        <v>32.0</v>
      </c>
      <c r="B36" s="351">
        <f t="shared" si="1"/>
        <v>32</v>
      </c>
      <c r="C36" s="356">
        <f>IFERROR(__xludf.DUMMYFUNCTION("""COMPUTED_VALUE"""),32.0)</f>
        <v>32</v>
      </c>
      <c r="D36" s="307" t="str">
        <f>IF(C36=0,"",(VLOOKUP($C36,'Пр.взв'!$D$6:$J$76,2,0)))</f>
        <v>АКСЕНОВ Артем</v>
      </c>
      <c r="E36" s="307" t="str">
        <f>IF(C36=0,"",(VLOOKUP($C36,'Пр.взв'!$D$6:$J$76,5,0)))</f>
        <v>КМС</v>
      </c>
      <c r="F36" s="307" t="str">
        <f>IF(C36=0,"",(VLOOKUP($C36,'Пр.взв'!$D$6:$M$76,6,0)))</f>
        <v>СЗФО</v>
      </c>
      <c r="G36" s="307" t="str">
        <f>IF(C36=0,"",(VLOOKUP($C36,'Пр.взв'!$D$6:$M$76,8,0)))</f>
        <v>Калининградская</v>
      </c>
      <c r="H36" s="309"/>
      <c r="I36" s="309"/>
      <c r="J36" s="309"/>
      <c r="K36" s="310"/>
      <c r="L36" s="361"/>
      <c r="M36" s="361">
        <f>IFERROR(__xludf.DUMMYFUNCTION("""COMPUTED_VALUE"""),30.5)</f>
        <v>30.5</v>
      </c>
      <c r="N36" s="356"/>
      <c r="O36" s="307" t="str">
        <f>IFERROR(__xludf.DUMMYFUNCTION("""COMPUTED_VALUE"""),"")</f>
        <v/>
      </c>
      <c r="P36" s="307" t="str">
        <f>IFERROR(__xludf.DUMMYFUNCTION("""COMPUTED_VALUE"""),"")</f>
        <v/>
      </c>
      <c r="Q36" s="307" t="str">
        <f>IFERROR(__xludf.DUMMYFUNCTION("""COMPUTED_VALUE"""),"")</f>
        <v/>
      </c>
      <c r="R36" s="307" t="str">
        <f>IFERROR(__xludf.DUMMYFUNCTION("""COMPUTED_VALUE"""),"")</f>
        <v/>
      </c>
      <c r="S36" s="309" t="str">
        <f>IFERROR(__xludf.DUMMYFUNCTION("""COMPUTED_VALUE"""),"")</f>
        <v/>
      </c>
      <c r="T36" s="309"/>
      <c r="U36" s="309"/>
      <c r="V36" s="310"/>
      <c r="W36" s="355"/>
      <c r="X36" s="356"/>
      <c r="Y36" s="307"/>
      <c r="Z36" s="307"/>
      <c r="AA36" s="307"/>
      <c r="AB36" s="307"/>
      <c r="AC36" s="309"/>
      <c r="AD36" s="309"/>
      <c r="AE36" s="309"/>
      <c r="AF36" s="310"/>
      <c r="AG36" s="355"/>
      <c r="AH36" s="356">
        <f>IFERROR(__xludf.DUMMYFUNCTION("""COMPUTED_VALUE"""),32.0)</f>
        <v>32</v>
      </c>
      <c r="AI36" s="307" t="str">
        <f>IF($AH36=0,"",(VLOOKUP($AH36,'Пр.взв'!$D$6:$J$71,2,0)))</f>
        <v>АКСЕНОВ Артем</v>
      </c>
      <c r="AJ36" s="307" t="str">
        <f>IF($AH36=0,"",(VLOOKUP($AH36,'Пр.взв'!$D$6:$J$71,5,0)))</f>
        <v>КМС</v>
      </c>
      <c r="AK36" s="307" t="str">
        <f>IF($AH36=0,"",(VLOOKUP($AH36,'Пр.взв'!$D$6:$J$71,6,0)))</f>
        <v>СЗФО</v>
      </c>
      <c r="AL36" s="307" t="str">
        <f>IF($AH36=0,"",(VLOOKUP($AH36,'Пр.взв'!$D$6:$M$71,8,0)))</f>
        <v>Калининградская</v>
      </c>
      <c r="AM36" s="309"/>
      <c r="AN36" s="309"/>
      <c r="AO36" s="309"/>
      <c r="AP36" s="310"/>
    </row>
    <row r="37" ht="27.75" customHeight="1">
      <c r="A37" s="361">
        <v>33.0</v>
      </c>
      <c r="B37" s="351">
        <f t="shared" si="1"/>
        <v>31</v>
      </c>
      <c r="C37" s="352">
        <f>IFERROR(__xludf.DUMMYFUNCTION("""COMPUTED_VALUE"""),31.0)</f>
        <v>31</v>
      </c>
      <c r="D37" s="302" t="str">
        <f>IF(C37=0,"",(VLOOKUP($C37,'Пр.взв'!$D$6:$J$76,2,0)))</f>
        <v>АБРОСИМОВ  Данила </v>
      </c>
      <c r="E37" s="302" t="str">
        <f>IF(C37=0,"",(VLOOKUP($C37,'Пр.взв'!$D$6:$J$76,5,0)))</f>
        <v>КМС</v>
      </c>
      <c r="F37" s="302" t="str">
        <f>IF(C37=0,"",(VLOOKUP($C37,'Пр.взв'!$D$6:$M$76,6,0)))</f>
        <v>ЦФО</v>
      </c>
      <c r="G37" s="302" t="str">
        <f>IF(C37=0,"",(VLOOKUP($C37,'Пр.взв'!$D$6:$M$76,8,0)))</f>
        <v>Рязанская</v>
      </c>
      <c r="H37" s="304" t="str">
        <f>IF(C37=0,"", IF(C38=0,"СВОБОДЕН",""))</f>
        <v/>
      </c>
      <c r="I37" s="304"/>
      <c r="J37" s="304"/>
      <c r="K37" s="305"/>
      <c r="L37" s="361"/>
      <c r="M37" s="361">
        <f>IFERROR(__xludf.DUMMYFUNCTION("""COMPUTED_VALUE"""),30.5)</f>
        <v>30.5</v>
      </c>
      <c r="N37" s="352"/>
      <c r="O37" s="302" t="str">
        <f>IFERROR(__xludf.DUMMYFUNCTION("""COMPUTED_VALUE"""),"")</f>
        <v/>
      </c>
      <c r="P37" s="302" t="str">
        <f>IFERROR(__xludf.DUMMYFUNCTION("""COMPUTED_VALUE"""),"")</f>
        <v/>
      </c>
      <c r="Q37" s="302" t="str">
        <f>IFERROR(__xludf.DUMMYFUNCTION("""COMPUTED_VALUE"""),"")</f>
        <v/>
      </c>
      <c r="R37" s="302" t="str">
        <f>IFERROR(__xludf.DUMMYFUNCTION("""COMPUTED_VALUE"""),"")</f>
        <v/>
      </c>
      <c r="S37" s="304"/>
      <c r="T37" s="304"/>
      <c r="U37" s="304"/>
      <c r="V37" s="305"/>
      <c r="W37" s="355"/>
      <c r="X37" s="352"/>
      <c r="Y37" s="302"/>
      <c r="Z37" s="302"/>
      <c r="AA37" s="302"/>
      <c r="AB37" s="302"/>
      <c r="AC37" s="304"/>
      <c r="AD37" s="304"/>
      <c r="AE37" s="304"/>
      <c r="AF37" s="305"/>
      <c r="AG37" s="355"/>
      <c r="AH37" s="352">
        <f>IFERROR(__xludf.DUMMYFUNCTION("""COMPUTED_VALUE"""),31.0)</f>
        <v>31</v>
      </c>
      <c r="AI37" s="302" t="str">
        <f>IF($AH37=0,"",(VLOOKUP($AH37,'Пр.взв'!$D$6:$J$71,2,0)))</f>
        <v>АБРОСИМОВ  Данила </v>
      </c>
      <c r="AJ37" s="302" t="str">
        <f>IF($AH37=0,"",(VLOOKUP($AH37,'Пр.взв'!$D$6:$J$71,5,0)))</f>
        <v>КМС</v>
      </c>
      <c r="AK37" s="302" t="str">
        <f>IF($AH37=0,"",(VLOOKUP($AH37,'Пр.взв'!$D$6:$J$71,6,0)))</f>
        <v>ЦФО</v>
      </c>
      <c r="AL37" s="302" t="str">
        <f>IF($AH37=0,"",(VLOOKUP($AH37,'Пр.взв'!$D$6:$M$71,8,0)))</f>
        <v>Рязанская</v>
      </c>
      <c r="AM37" s="304" t="str">
        <f>IF(AH37=0,"", IF(AH38=0,"СВОБОДЕН",""))</f>
        <v/>
      </c>
      <c r="AN37" s="304"/>
      <c r="AO37" s="304"/>
      <c r="AP37" s="305"/>
    </row>
    <row r="38" ht="27.75" customHeight="1">
      <c r="A38" s="361">
        <v>34.0</v>
      </c>
      <c r="B38" s="351">
        <f t="shared" si="1"/>
        <v>33</v>
      </c>
      <c r="C38" s="356">
        <f>IFERROR(__xludf.DUMMYFUNCTION("""COMPUTED_VALUE"""),33.0)</f>
        <v>33</v>
      </c>
      <c r="D38" s="307" t="str">
        <f>IF(C38=0,"",(VLOOKUP($C38,'Пр.взв'!$D$6:$J$76,2,0)))</f>
        <v>АБДУЛМЕДЖИДОВ Ахмед </v>
      </c>
      <c r="E38" s="307" t="str">
        <f>IF(C38=0,"",(VLOOKUP($C38,'Пр.взв'!$D$6:$J$76,5,0)))</f>
        <v>КМС</v>
      </c>
      <c r="F38" s="307" t="str">
        <f>IF(C38=0,"",(VLOOKUP($C38,'Пр.взв'!$D$6:$M$76,6,0)))</f>
        <v>МОС</v>
      </c>
      <c r="G38" s="307" t="str">
        <f>IF(C38=0,"",(VLOOKUP($C38,'Пр.взв'!$D$6:$M$76,8,0)))</f>
        <v>Москва</v>
      </c>
      <c r="H38" s="309"/>
      <c r="I38" s="309"/>
      <c r="J38" s="309"/>
      <c r="K38" s="310"/>
      <c r="L38" s="361"/>
      <c r="M38" s="361">
        <f>IFERROR(__xludf.DUMMYFUNCTION("""COMPUTED_VALUE"""),30.5)</f>
        <v>30.5</v>
      </c>
      <c r="N38" s="356"/>
      <c r="O38" s="307" t="str">
        <f>IFERROR(__xludf.DUMMYFUNCTION("""COMPUTED_VALUE"""),"")</f>
        <v/>
      </c>
      <c r="P38" s="307" t="str">
        <f>IFERROR(__xludf.DUMMYFUNCTION("""COMPUTED_VALUE"""),"")</f>
        <v/>
      </c>
      <c r="Q38" s="307" t="str">
        <f>IFERROR(__xludf.DUMMYFUNCTION("""COMPUTED_VALUE"""),"")</f>
        <v/>
      </c>
      <c r="R38" s="307" t="str">
        <f>IFERROR(__xludf.DUMMYFUNCTION("""COMPUTED_VALUE"""),"")</f>
        <v/>
      </c>
      <c r="S38" s="309" t="str">
        <f>IFERROR(__xludf.DUMMYFUNCTION("""COMPUTED_VALUE"""),"")</f>
        <v/>
      </c>
      <c r="T38" s="309"/>
      <c r="U38" s="309"/>
      <c r="V38" s="310"/>
      <c r="W38" s="355"/>
      <c r="X38" s="356"/>
      <c r="Y38" s="307"/>
      <c r="Z38" s="307"/>
      <c r="AA38" s="307"/>
      <c r="AB38" s="307"/>
      <c r="AC38" s="309"/>
      <c r="AD38" s="309"/>
      <c r="AE38" s="309"/>
      <c r="AF38" s="310"/>
      <c r="AG38" s="355"/>
      <c r="AH38" s="356">
        <f>IFERROR(__xludf.DUMMYFUNCTION("""COMPUTED_VALUE"""),33.0)</f>
        <v>33</v>
      </c>
      <c r="AI38" s="307" t="str">
        <f>IF($AH38=0,"",(VLOOKUP($AH38,'Пр.взв'!$D$6:$J$71,2,0)))</f>
        <v>АБДУЛМЕДЖИДОВ Ахмед </v>
      </c>
      <c r="AJ38" s="307" t="str">
        <f>IF($AH38=0,"",(VLOOKUP($AH38,'Пр.взв'!$D$6:$J$71,5,0)))</f>
        <v>КМС</v>
      </c>
      <c r="AK38" s="307" t="str">
        <f>IF($AH38=0,"",(VLOOKUP($AH38,'Пр.взв'!$D$6:$J$71,6,0)))</f>
        <v>МОС</v>
      </c>
      <c r="AL38" s="307" t="str">
        <f>IF($AH38=0,"",(VLOOKUP($AH38,'Пр.взв'!$D$6:$M$71,8,0)))</f>
        <v>Москва</v>
      </c>
      <c r="AM38" s="309"/>
      <c r="AN38" s="309"/>
      <c r="AO38" s="309"/>
      <c r="AP38" s="310"/>
    </row>
    <row r="39" ht="27.75" customHeight="1">
      <c r="A39" s="361">
        <v>35.0</v>
      </c>
      <c r="B39" s="351">
        <f t="shared" si="1"/>
        <v>34</v>
      </c>
      <c r="C39" s="352">
        <f>IFERROR(__xludf.DUMMYFUNCTION("""COMPUTED_VALUE"""),34.0)</f>
        <v>34</v>
      </c>
      <c r="D39" s="302" t="str">
        <f>IF(C39=0,"",(VLOOKUP($C39,'Пр.взв'!$D$6:$J$76,2,0)))</f>
        <v>ГУЦУЛ Владислав </v>
      </c>
      <c r="E39" s="302" t="str">
        <f>IF(C39=0,"",(VLOOKUP($C39,'Пр.взв'!$D$6:$J$76,5,0)))</f>
        <v>КМС</v>
      </c>
      <c r="F39" s="302" t="str">
        <f>IF(C39=0,"",(VLOOKUP($C39,'Пр.взв'!$D$6:$M$76,6,0)))</f>
        <v>ЦФО</v>
      </c>
      <c r="G39" s="302" t="str">
        <f>IF(C39=0,"",(VLOOKUP($C39,'Пр.взв'!$D$6:$M$76,8,0)))</f>
        <v>Ярославская</v>
      </c>
      <c r="H39" s="304" t="str">
        <f>IF(C39=0,"", IF(C40=0,"СВОБОДЕН",""))</f>
        <v/>
      </c>
      <c r="I39" s="304"/>
      <c r="J39" s="304"/>
      <c r="K39" s="305"/>
      <c r="L39" s="361"/>
      <c r="M39" s="361">
        <f>IFERROR(__xludf.DUMMYFUNCTION("""COMPUTED_VALUE"""),30.5)</f>
        <v>30.5</v>
      </c>
      <c r="N39" s="352"/>
      <c r="O39" s="302" t="str">
        <f>IFERROR(__xludf.DUMMYFUNCTION("""COMPUTED_VALUE"""),"")</f>
        <v/>
      </c>
      <c r="P39" s="302" t="str">
        <f>IFERROR(__xludf.DUMMYFUNCTION("""COMPUTED_VALUE"""),"")</f>
        <v/>
      </c>
      <c r="Q39" s="302" t="str">
        <f>IFERROR(__xludf.DUMMYFUNCTION("""COMPUTED_VALUE"""),"")</f>
        <v/>
      </c>
      <c r="R39" s="302" t="str">
        <f>IFERROR(__xludf.DUMMYFUNCTION("""COMPUTED_VALUE"""),"")</f>
        <v/>
      </c>
      <c r="S39" s="304"/>
      <c r="T39" s="304"/>
      <c r="U39" s="304"/>
      <c r="V39" s="305"/>
      <c r="W39" s="355"/>
      <c r="X39" s="352"/>
      <c r="Y39" s="302"/>
      <c r="Z39" s="302"/>
      <c r="AA39" s="302"/>
      <c r="AB39" s="302"/>
      <c r="AC39" s="304"/>
      <c r="AD39" s="304"/>
      <c r="AE39" s="304"/>
      <c r="AF39" s="305"/>
      <c r="AG39" s="355"/>
      <c r="AH39" s="352">
        <f>IFERROR(__xludf.DUMMYFUNCTION("""COMPUTED_VALUE"""),34.0)</f>
        <v>34</v>
      </c>
      <c r="AI39" s="302" t="str">
        <f>IF($AH39=0,"",(VLOOKUP($AH39,'Пр.взв'!$D$6:$J$71,2,0)))</f>
        <v>ГУЦУЛ Владислав </v>
      </c>
      <c r="AJ39" s="302" t="str">
        <f>IF($AH39=0,"",(VLOOKUP($AH39,'Пр.взв'!$D$6:$J$71,5,0)))</f>
        <v>КМС</v>
      </c>
      <c r="AK39" s="302" t="str">
        <f>IF($AH39=0,"",(VLOOKUP($AH39,'Пр.взв'!$D$6:$J$71,6,0)))</f>
        <v>ЦФО</v>
      </c>
      <c r="AL39" s="302" t="str">
        <f>IF($AH39=0,"",(VLOOKUP($AH39,'Пр.взв'!$D$6:$M$71,8,0)))</f>
        <v>Ярославская</v>
      </c>
      <c r="AM39" s="304" t="str">
        <f>IF(AH39=0,"", IF(AH40=0,"СВОБОДЕН",""))</f>
        <v/>
      </c>
      <c r="AN39" s="304"/>
      <c r="AO39" s="304"/>
      <c r="AP39" s="305"/>
    </row>
    <row r="40" ht="27.75" customHeight="1">
      <c r="A40" s="361">
        <v>36.0</v>
      </c>
      <c r="B40" s="351">
        <f t="shared" si="1"/>
        <v>36</v>
      </c>
      <c r="C40" s="356">
        <f>IFERROR(__xludf.DUMMYFUNCTION("""COMPUTED_VALUE"""),36.0)</f>
        <v>36</v>
      </c>
      <c r="D40" s="307" t="str">
        <f>IF(C40=0,"",(VLOOKUP($C40,'Пр.взв'!$D$6:$J$76,2,0)))</f>
        <v>ТРУБНИКОВ  Денис </v>
      </c>
      <c r="E40" s="307" t="str">
        <f>IF(C40=0,"",(VLOOKUP($C40,'Пр.взв'!$D$6:$J$76,5,0)))</f>
        <v>2р</v>
      </c>
      <c r="F40" s="307" t="str">
        <f>IF(C40=0,"",(VLOOKUP($C40,'Пр.взв'!$D$6:$M$76,6,0)))</f>
        <v>УФО</v>
      </c>
      <c r="G40" s="307" t="str">
        <f>IF(C40=0,"",(VLOOKUP($C40,'Пр.взв'!$D$6:$M$76,8,0)))</f>
        <v>Свердловская</v>
      </c>
      <c r="H40" s="309"/>
      <c r="I40" s="309"/>
      <c r="J40" s="309"/>
      <c r="K40" s="310"/>
      <c r="L40" s="361"/>
      <c r="M40" s="361">
        <f>IFERROR(__xludf.DUMMYFUNCTION("""COMPUTED_VALUE"""),30.5)</f>
        <v>30.5</v>
      </c>
      <c r="N40" s="356"/>
      <c r="O40" s="307" t="str">
        <f>IFERROR(__xludf.DUMMYFUNCTION("""COMPUTED_VALUE"""),"")</f>
        <v/>
      </c>
      <c r="P40" s="307" t="str">
        <f>IFERROR(__xludf.DUMMYFUNCTION("""COMPUTED_VALUE"""),"")</f>
        <v/>
      </c>
      <c r="Q40" s="307" t="str">
        <f>IFERROR(__xludf.DUMMYFUNCTION("""COMPUTED_VALUE"""),"")</f>
        <v/>
      </c>
      <c r="R40" s="307" t="str">
        <f>IFERROR(__xludf.DUMMYFUNCTION("""COMPUTED_VALUE"""),"")</f>
        <v/>
      </c>
      <c r="S40" s="309" t="str">
        <f>IFERROR(__xludf.DUMMYFUNCTION("""COMPUTED_VALUE"""),"")</f>
        <v/>
      </c>
      <c r="T40" s="309"/>
      <c r="U40" s="309"/>
      <c r="V40" s="310"/>
      <c r="W40" s="355"/>
      <c r="X40" s="356"/>
      <c r="Y40" s="307"/>
      <c r="Z40" s="307"/>
      <c r="AA40" s="307"/>
      <c r="AB40" s="307"/>
      <c r="AC40" s="309"/>
      <c r="AD40" s="309"/>
      <c r="AE40" s="309"/>
      <c r="AF40" s="310"/>
      <c r="AG40" s="355"/>
      <c r="AH40" s="356">
        <f>IFERROR(__xludf.DUMMYFUNCTION("""COMPUTED_VALUE"""),36.0)</f>
        <v>36</v>
      </c>
      <c r="AI40" s="307" t="str">
        <f>IF($AH40=0,"",(VLOOKUP($AH40,'Пр.взв'!$D$6:$J$71,2,0)))</f>
        <v>ТРУБНИКОВ  Денис </v>
      </c>
      <c r="AJ40" s="307" t="str">
        <f>IF($AH40=0,"",(VLOOKUP($AH40,'Пр.взв'!$D$6:$J$71,5,0)))</f>
        <v>2р</v>
      </c>
      <c r="AK40" s="307" t="str">
        <f>IF($AH40=0,"",(VLOOKUP($AH40,'Пр.взв'!$D$6:$J$71,6,0)))</f>
        <v>УФО</v>
      </c>
      <c r="AL40" s="307" t="str">
        <f>IF($AH40=0,"",(VLOOKUP($AH40,'Пр.взв'!$D$6:$M$71,8,0)))</f>
        <v>Свердловская</v>
      </c>
      <c r="AM40" s="309"/>
      <c r="AN40" s="309"/>
      <c r="AO40" s="309"/>
      <c r="AP40" s="310"/>
    </row>
    <row r="41" ht="27.75" customHeight="1">
      <c r="A41" s="361">
        <v>37.0</v>
      </c>
      <c r="B41" s="351">
        <f t="shared" si="1"/>
        <v>35</v>
      </c>
      <c r="C41" s="352">
        <f>IFERROR(__xludf.DUMMYFUNCTION("""COMPUTED_VALUE"""),35.0)</f>
        <v>35</v>
      </c>
      <c r="D41" s="302" t="str">
        <f>IF(C41=0,"",(VLOOKUP($C41,'Пр.взв'!$D$6:$J$76,2,0)))</f>
        <v>ИГНАТЕНКО Егор</v>
      </c>
      <c r="E41" s="302" t="str">
        <f>IF(C41=0,"",(VLOOKUP($C41,'Пр.взв'!$D$6:$J$76,5,0)))</f>
        <v>1р</v>
      </c>
      <c r="F41" s="302" t="str">
        <f>IF(C41=0,"",(VLOOKUP($C41,'Пр.взв'!$D$6:$M$76,6,0)))</f>
        <v>ДВФО</v>
      </c>
      <c r="G41" s="302" t="str">
        <f>IF(C41=0,"",(VLOOKUP($C41,'Пр.взв'!$D$6:$M$76,8,0)))</f>
        <v>Амурская</v>
      </c>
      <c r="H41" s="304" t="str">
        <f>IF(C41=0,"", IF(C42=0,"СВОБОДЕН",""))</f>
        <v/>
      </c>
      <c r="I41" s="304"/>
      <c r="J41" s="304"/>
      <c r="K41" s="305"/>
      <c r="L41" s="361"/>
      <c r="M41" s="361">
        <f>IFERROR(__xludf.DUMMYFUNCTION("""COMPUTED_VALUE"""),30.5)</f>
        <v>30.5</v>
      </c>
      <c r="N41" s="352"/>
      <c r="O41" s="302" t="str">
        <f>IFERROR(__xludf.DUMMYFUNCTION("""COMPUTED_VALUE"""),"")</f>
        <v/>
      </c>
      <c r="P41" s="302" t="str">
        <f>IFERROR(__xludf.DUMMYFUNCTION("""COMPUTED_VALUE"""),"")</f>
        <v/>
      </c>
      <c r="Q41" s="302" t="str">
        <f>IFERROR(__xludf.DUMMYFUNCTION("""COMPUTED_VALUE"""),"")</f>
        <v/>
      </c>
      <c r="R41" s="302" t="str">
        <f>IFERROR(__xludf.DUMMYFUNCTION("""COMPUTED_VALUE"""),"")</f>
        <v/>
      </c>
      <c r="S41" s="304"/>
      <c r="T41" s="304"/>
      <c r="U41" s="304"/>
      <c r="V41" s="305"/>
      <c r="W41" s="355"/>
      <c r="X41" s="352"/>
      <c r="Y41" s="302"/>
      <c r="Z41" s="302"/>
      <c r="AA41" s="302"/>
      <c r="AB41" s="302"/>
      <c r="AC41" s="304"/>
      <c r="AD41" s="304"/>
      <c r="AE41" s="304"/>
      <c r="AF41" s="305"/>
      <c r="AG41" s="355"/>
      <c r="AH41" s="352">
        <f>IFERROR(__xludf.DUMMYFUNCTION("""COMPUTED_VALUE"""),35.0)</f>
        <v>35</v>
      </c>
      <c r="AI41" s="302" t="str">
        <f>IF($AH41=0,"",(VLOOKUP($AH41,'Пр.взв'!$D$6:$J$71,2,0)))</f>
        <v>ИГНАТЕНКО Егор</v>
      </c>
      <c r="AJ41" s="302" t="str">
        <f>IF($AH41=0,"",(VLOOKUP($AH41,'Пр.взв'!$D$6:$J$71,5,0)))</f>
        <v>1р</v>
      </c>
      <c r="AK41" s="302" t="str">
        <f>IF($AH41=0,"",(VLOOKUP($AH41,'Пр.взв'!$D$6:$J$71,6,0)))</f>
        <v>ДВФО</v>
      </c>
      <c r="AL41" s="302" t="str">
        <f>IF($AH41=0,"",(VLOOKUP($AH41,'Пр.взв'!$D$6:$M$71,8,0)))</f>
        <v>Амурская</v>
      </c>
      <c r="AM41" s="304" t="str">
        <f>IF(AH41=0,"", IF(AH42=0,"СВОБОДЕН",""))</f>
        <v/>
      </c>
      <c r="AN41" s="304"/>
      <c r="AO41" s="304"/>
      <c r="AP41" s="305"/>
    </row>
    <row r="42" ht="27.75" customHeight="1">
      <c r="A42" s="361">
        <v>38.0</v>
      </c>
      <c r="B42" s="351">
        <f t="shared" si="1"/>
        <v>37</v>
      </c>
      <c r="C42" s="356">
        <f>IFERROR(__xludf.DUMMYFUNCTION("""COMPUTED_VALUE"""),37.0)</f>
        <v>37</v>
      </c>
      <c r="D42" s="307" t="str">
        <f>IF(C42=0,"",(VLOOKUP($C42,'Пр.взв'!$D$6:$J$76,2,0)))</f>
        <v>ШУРАЛЕВ Павел</v>
      </c>
      <c r="E42" s="307" t="str">
        <f>IF(C42=0,"",(VLOOKUP($C42,'Пр.взв'!$D$6:$J$76,5,0)))</f>
        <v>КМС</v>
      </c>
      <c r="F42" s="307" t="str">
        <f>IF(C42=0,"",(VLOOKUP($C42,'Пр.взв'!$D$6:$M$76,6,0)))</f>
        <v>ЦФО</v>
      </c>
      <c r="G42" s="307" t="str">
        <f>IF(C42=0,"",(VLOOKUP($C42,'Пр.взв'!$D$6:$M$76,8,0)))</f>
        <v>Московская</v>
      </c>
      <c r="H42" s="309"/>
      <c r="I42" s="309"/>
      <c r="J42" s="309"/>
      <c r="K42" s="310"/>
      <c r="L42" s="361"/>
      <c r="M42" s="361">
        <f>IFERROR(__xludf.DUMMYFUNCTION("""COMPUTED_VALUE"""),30.5)</f>
        <v>30.5</v>
      </c>
      <c r="N42" s="356"/>
      <c r="O42" s="307" t="str">
        <f>IFERROR(__xludf.DUMMYFUNCTION("""COMPUTED_VALUE"""),"")</f>
        <v/>
      </c>
      <c r="P42" s="307" t="str">
        <f>IFERROR(__xludf.DUMMYFUNCTION("""COMPUTED_VALUE"""),"")</f>
        <v/>
      </c>
      <c r="Q42" s="307" t="str">
        <f>IFERROR(__xludf.DUMMYFUNCTION("""COMPUTED_VALUE"""),"")</f>
        <v/>
      </c>
      <c r="R42" s="307" t="str">
        <f>IFERROR(__xludf.DUMMYFUNCTION("""COMPUTED_VALUE"""),"")</f>
        <v/>
      </c>
      <c r="S42" s="309" t="str">
        <f>IFERROR(__xludf.DUMMYFUNCTION("""COMPUTED_VALUE"""),"")</f>
        <v/>
      </c>
      <c r="T42" s="309"/>
      <c r="U42" s="309"/>
      <c r="V42" s="310"/>
      <c r="W42" s="355"/>
      <c r="X42" s="356"/>
      <c r="Y42" s="307"/>
      <c r="Z42" s="307"/>
      <c r="AA42" s="307"/>
      <c r="AB42" s="307"/>
      <c r="AC42" s="309"/>
      <c r="AD42" s="309"/>
      <c r="AE42" s="309"/>
      <c r="AF42" s="310"/>
      <c r="AG42" s="355"/>
      <c r="AH42" s="356">
        <f>IFERROR(__xludf.DUMMYFUNCTION("""COMPUTED_VALUE"""),37.0)</f>
        <v>37</v>
      </c>
      <c r="AI42" s="307" t="str">
        <f>IF($AH42=0,"",(VLOOKUP($AH42,'Пр.взв'!$D$6:$J$71,2,0)))</f>
        <v>ШУРАЛЕВ Павел</v>
      </c>
      <c r="AJ42" s="307" t="str">
        <f>IF($AH42=0,"",(VLOOKUP($AH42,'Пр.взв'!$D$6:$J$71,5,0)))</f>
        <v>КМС</v>
      </c>
      <c r="AK42" s="307" t="str">
        <f>IF($AH42=0,"",(VLOOKUP($AH42,'Пр.взв'!$D$6:$J$71,6,0)))</f>
        <v>ЦФО</v>
      </c>
      <c r="AL42" s="307" t="str">
        <f>IF($AH42=0,"",(VLOOKUP($AH42,'Пр.взв'!$D$6:$M$71,8,0)))</f>
        <v>Московская</v>
      </c>
      <c r="AM42" s="309"/>
      <c r="AN42" s="309"/>
      <c r="AO42" s="309"/>
      <c r="AP42" s="310"/>
    </row>
    <row r="43" ht="27.75" customHeight="1">
      <c r="A43" s="361">
        <v>39.0</v>
      </c>
      <c r="B43" s="351">
        <f t="shared" si="1"/>
        <v>38</v>
      </c>
      <c r="C43" s="352">
        <f>IFERROR(__xludf.DUMMYFUNCTION("""COMPUTED_VALUE"""),38.0)</f>
        <v>38</v>
      </c>
      <c r="D43" s="302" t="str">
        <f>IF(C43=0,"",(VLOOKUP($C43,'Пр.взв'!$D$6:$J$76,2,0)))</f>
        <v>АЛИЕВ Руслан</v>
      </c>
      <c r="E43" s="302" t="str">
        <f>IF(C43=0,"",(VLOOKUP($C43,'Пр.взв'!$D$6:$J$76,5,0)))</f>
        <v>КМС</v>
      </c>
      <c r="F43" s="302" t="str">
        <f>IF(C43=0,"",(VLOOKUP($C43,'Пр.взв'!$D$6:$M$76,6,0)))</f>
        <v>ЮФО</v>
      </c>
      <c r="G43" s="302" t="str">
        <f>IF(C43=0,"",(VLOOKUP($C43,'Пр.взв'!$D$6:$M$76,8,0)))</f>
        <v>Краснодарский</v>
      </c>
      <c r="H43" s="304" t="str">
        <f>IF(C43=0,"", IF(C44=0,"СВОБОДЕН",""))</f>
        <v/>
      </c>
      <c r="I43" s="304"/>
      <c r="J43" s="304"/>
      <c r="K43" s="305"/>
      <c r="L43" s="361"/>
      <c r="M43" s="361">
        <f>IFERROR(__xludf.DUMMYFUNCTION("""COMPUTED_VALUE"""),30.5)</f>
        <v>30.5</v>
      </c>
      <c r="N43" s="352"/>
      <c r="O43" s="302" t="str">
        <f>IFERROR(__xludf.DUMMYFUNCTION("""COMPUTED_VALUE"""),"")</f>
        <v/>
      </c>
      <c r="P43" s="302" t="str">
        <f>IFERROR(__xludf.DUMMYFUNCTION("""COMPUTED_VALUE"""),"")</f>
        <v/>
      </c>
      <c r="Q43" s="302" t="str">
        <f>IFERROR(__xludf.DUMMYFUNCTION("""COMPUTED_VALUE"""),"")</f>
        <v/>
      </c>
      <c r="R43" s="302" t="str">
        <f>IFERROR(__xludf.DUMMYFUNCTION("""COMPUTED_VALUE"""),"")</f>
        <v/>
      </c>
      <c r="S43" s="304"/>
      <c r="T43" s="304"/>
      <c r="U43" s="304"/>
      <c r="V43" s="305"/>
      <c r="W43" s="355"/>
      <c r="X43" s="352"/>
      <c r="Y43" s="302"/>
      <c r="Z43" s="302"/>
      <c r="AA43" s="302"/>
      <c r="AB43" s="302"/>
      <c r="AC43" s="304"/>
      <c r="AD43" s="304"/>
      <c r="AE43" s="304"/>
      <c r="AF43" s="305"/>
      <c r="AG43" s="355"/>
      <c r="AH43" s="352">
        <f>IFERROR(__xludf.DUMMYFUNCTION("""COMPUTED_VALUE"""),38.0)</f>
        <v>38</v>
      </c>
      <c r="AI43" s="302" t="str">
        <f>IF($AH43=0,"",(VLOOKUP($AH43,'Пр.взв'!$D$6:$J$71,2,0)))</f>
        <v>АЛИЕВ Руслан</v>
      </c>
      <c r="AJ43" s="302" t="str">
        <f>IF($AH43=0,"",(VLOOKUP($AH43,'Пр.взв'!$D$6:$J$71,5,0)))</f>
        <v>КМС</v>
      </c>
      <c r="AK43" s="302" t="str">
        <f>IF($AH43=0,"",(VLOOKUP($AH43,'Пр.взв'!$D$6:$J$71,6,0)))</f>
        <v>ЮФО</v>
      </c>
      <c r="AL43" s="302" t="str">
        <f>IF($AH43=0,"",(VLOOKUP($AH43,'Пр.взв'!$D$6:$M$71,8,0)))</f>
        <v>Краснодарский</v>
      </c>
      <c r="AM43" s="304" t="str">
        <f>IF(AH43=0,"", IF(AH44=0,"СВОБОДЕН",""))</f>
        <v/>
      </c>
      <c r="AN43" s="304"/>
      <c r="AO43" s="304"/>
      <c r="AP43" s="305"/>
    </row>
    <row r="44" ht="27.75" customHeight="1">
      <c r="A44" s="361">
        <v>40.0</v>
      </c>
      <c r="B44" s="351">
        <f t="shared" si="1"/>
        <v>40</v>
      </c>
      <c r="C44" s="356">
        <f>IFERROR(__xludf.DUMMYFUNCTION("""COMPUTED_VALUE"""),40.0)</f>
        <v>40</v>
      </c>
      <c r="D44" s="307" t="str">
        <f>IF(C44=0,"",(VLOOKUP($C44,'Пр.взв'!$D$6:$J$76,2,0)))</f>
        <v>ИБРАГИМОВ  Магомед</v>
      </c>
      <c r="E44" s="307" t="str">
        <f>IF(C44=0,"",(VLOOKUP($C44,'Пр.взв'!$D$6:$J$76,5,0)))</f>
        <v>КМС</v>
      </c>
      <c r="F44" s="307" t="str">
        <f>IF(C44=0,"",(VLOOKUP($C44,'Пр.взв'!$D$6:$M$76,6,0)))</f>
        <v>СКФО</v>
      </c>
      <c r="G44" s="307" t="str">
        <f>IF(C44=0,"",(VLOOKUP($C44,'Пр.взв'!$D$6:$M$76,8,0)))</f>
        <v>Р.Дагестан</v>
      </c>
      <c r="H44" s="309"/>
      <c r="I44" s="309"/>
      <c r="J44" s="309"/>
      <c r="K44" s="310"/>
      <c r="L44" s="361"/>
      <c r="M44" s="361">
        <f>IFERROR(__xludf.DUMMYFUNCTION("""COMPUTED_VALUE"""),30.5)</f>
        <v>30.5</v>
      </c>
      <c r="N44" s="356"/>
      <c r="O44" s="307" t="str">
        <f>IFERROR(__xludf.DUMMYFUNCTION("""COMPUTED_VALUE"""),"")</f>
        <v/>
      </c>
      <c r="P44" s="307" t="str">
        <f>IFERROR(__xludf.DUMMYFUNCTION("""COMPUTED_VALUE"""),"")</f>
        <v/>
      </c>
      <c r="Q44" s="307" t="str">
        <f>IFERROR(__xludf.DUMMYFUNCTION("""COMPUTED_VALUE"""),"")</f>
        <v/>
      </c>
      <c r="R44" s="307" t="str">
        <f>IFERROR(__xludf.DUMMYFUNCTION("""COMPUTED_VALUE"""),"")</f>
        <v/>
      </c>
      <c r="S44" s="309" t="str">
        <f>IFERROR(__xludf.DUMMYFUNCTION("""COMPUTED_VALUE"""),"")</f>
        <v/>
      </c>
      <c r="T44" s="309"/>
      <c r="U44" s="309"/>
      <c r="V44" s="310"/>
      <c r="W44" s="355"/>
      <c r="X44" s="356"/>
      <c r="Y44" s="307"/>
      <c r="Z44" s="307"/>
      <c r="AA44" s="307"/>
      <c r="AB44" s="307"/>
      <c r="AC44" s="309"/>
      <c r="AD44" s="309"/>
      <c r="AE44" s="309"/>
      <c r="AF44" s="310"/>
      <c r="AG44" s="355"/>
      <c r="AH44" s="356">
        <f>IFERROR(__xludf.DUMMYFUNCTION("""COMPUTED_VALUE"""),40.0)</f>
        <v>40</v>
      </c>
      <c r="AI44" s="307" t="str">
        <f>IF($AH44=0,"",(VLOOKUP($AH44,'Пр.взв'!$D$6:$J$71,2,0)))</f>
        <v>ИБРАГИМОВ  Магомед</v>
      </c>
      <c r="AJ44" s="307" t="str">
        <f>IF($AH44=0,"",(VLOOKUP($AH44,'Пр.взв'!$D$6:$J$71,5,0)))</f>
        <v>КМС</v>
      </c>
      <c r="AK44" s="307" t="str">
        <f>IF($AH44=0,"",(VLOOKUP($AH44,'Пр.взв'!$D$6:$J$71,6,0)))</f>
        <v>СКФО</v>
      </c>
      <c r="AL44" s="307" t="str">
        <f>IF($AH44=0,"",(VLOOKUP($AH44,'Пр.взв'!$D$6:$M$71,8,0)))</f>
        <v>Р.Дагестан</v>
      </c>
      <c r="AM44" s="309"/>
      <c r="AN44" s="309"/>
      <c r="AO44" s="309"/>
      <c r="AP44" s="310"/>
    </row>
    <row r="45" ht="27.75" customHeight="1">
      <c r="A45" s="361">
        <v>41.0</v>
      </c>
      <c r="B45" s="351">
        <f t="shared" si="1"/>
        <v>39</v>
      </c>
      <c r="C45" s="352">
        <f>IFERROR(__xludf.DUMMYFUNCTION("""COMPUTED_VALUE"""),39.0)</f>
        <v>39</v>
      </c>
      <c r="D45" s="302" t="str">
        <f>IF(C45=0,"",(VLOOKUP($C45,'Пр.взв'!$D$6:$J$76,2,0)))</f>
        <v>ВЫСКРЕБЕНЦЕВ  Семён</v>
      </c>
      <c r="E45" s="302" t="str">
        <f>IF(C45=0,"",(VLOOKUP($C45,'Пр.взв'!$D$6:$J$76,5,0)))</f>
        <v>2р</v>
      </c>
      <c r="F45" s="302" t="str">
        <f>IF(C45=0,"",(VLOOKUP($C45,'Пр.взв'!$D$6:$M$76,6,0)))</f>
        <v>МОС</v>
      </c>
      <c r="G45" s="302" t="str">
        <f>IF(C45=0,"",(VLOOKUP($C45,'Пр.взв'!$D$6:$M$76,8,0)))</f>
        <v>Москва</v>
      </c>
      <c r="H45" s="304" t="str">
        <f>IF(C45=0,"", IF(C46=0,"СВОБОДЕН",""))</f>
        <v/>
      </c>
      <c r="I45" s="304"/>
      <c r="J45" s="304"/>
      <c r="K45" s="305"/>
      <c r="L45" s="361"/>
      <c r="M45" s="361">
        <f>IFERROR(__xludf.DUMMYFUNCTION("""COMPUTED_VALUE"""),30.5)</f>
        <v>30.5</v>
      </c>
      <c r="N45" s="352"/>
      <c r="O45" s="302" t="str">
        <f>IFERROR(__xludf.DUMMYFUNCTION("""COMPUTED_VALUE"""),"")</f>
        <v/>
      </c>
      <c r="P45" s="302" t="str">
        <f>IFERROR(__xludf.DUMMYFUNCTION("""COMPUTED_VALUE"""),"")</f>
        <v/>
      </c>
      <c r="Q45" s="302" t="str">
        <f>IFERROR(__xludf.DUMMYFUNCTION("""COMPUTED_VALUE"""),"")</f>
        <v/>
      </c>
      <c r="R45" s="302" t="str">
        <f>IFERROR(__xludf.DUMMYFUNCTION("""COMPUTED_VALUE"""),"")</f>
        <v/>
      </c>
      <c r="S45" s="304"/>
      <c r="T45" s="304"/>
      <c r="U45" s="304"/>
      <c r="V45" s="305"/>
      <c r="W45" s="355"/>
      <c r="X45" s="352"/>
      <c r="Y45" s="302"/>
      <c r="Z45" s="302"/>
      <c r="AA45" s="302"/>
      <c r="AB45" s="302"/>
      <c r="AC45" s="304"/>
      <c r="AD45" s="304"/>
      <c r="AE45" s="304"/>
      <c r="AF45" s="305"/>
      <c r="AG45" s="355"/>
      <c r="AH45" s="352">
        <f>IFERROR(__xludf.DUMMYFUNCTION("""COMPUTED_VALUE"""),39.0)</f>
        <v>39</v>
      </c>
      <c r="AI45" s="302" t="str">
        <f>IF($AH45=0,"",(VLOOKUP($AH45,'Пр.взв'!$D$6:$J$71,2,0)))</f>
        <v>ВЫСКРЕБЕНЦЕВ  Семён</v>
      </c>
      <c r="AJ45" s="302" t="str">
        <f>IF($AH45=0,"",(VLOOKUP($AH45,'Пр.взв'!$D$6:$J$71,5,0)))</f>
        <v>2р</v>
      </c>
      <c r="AK45" s="302" t="str">
        <f>IF($AH45=0,"",(VLOOKUP($AH45,'Пр.взв'!$D$6:$J$71,6,0)))</f>
        <v>МОС</v>
      </c>
      <c r="AL45" s="302" t="str">
        <f>IF($AH45=0,"",(VLOOKUP($AH45,'Пр.взв'!$D$6:$M$71,8,0)))</f>
        <v>Москва</v>
      </c>
      <c r="AM45" s="304" t="str">
        <f>IF(AH45=0,"", IF(AH46=0,"СВОБОДЕН",""))</f>
        <v/>
      </c>
      <c r="AN45" s="304"/>
      <c r="AO45" s="304"/>
      <c r="AP45" s="305"/>
    </row>
    <row r="46" ht="27.75" customHeight="1">
      <c r="A46" s="361">
        <v>42.0</v>
      </c>
      <c r="B46" s="351">
        <f t="shared" si="1"/>
        <v>41</v>
      </c>
      <c r="C46" s="356">
        <f>IFERROR(__xludf.DUMMYFUNCTION("""COMPUTED_VALUE"""),41.0)</f>
        <v>41</v>
      </c>
      <c r="D46" s="307" t="str">
        <f>IF(C46=0,"",(VLOOKUP($C46,'Пр.взв'!$D$6:$J$76,2,0)))</f>
        <v>КРЕЧЕТОВ  Никита</v>
      </c>
      <c r="E46" s="307" t="str">
        <f>IF(C46=0,"",(VLOOKUP($C46,'Пр.взв'!$D$6:$J$76,5,0)))</f>
        <v>КМС</v>
      </c>
      <c r="F46" s="307" t="str">
        <f>IF(C46=0,"",(VLOOKUP($C46,'Пр.взв'!$D$6:$M$76,6,0)))</f>
        <v>ПФО</v>
      </c>
      <c r="G46" s="307" t="str">
        <f>IF(C46=0,"",(VLOOKUP($C46,'Пр.взв'!$D$6:$M$76,8,0)))</f>
        <v>Самарская</v>
      </c>
      <c r="H46" s="309"/>
      <c r="I46" s="309"/>
      <c r="J46" s="309"/>
      <c r="K46" s="310"/>
      <c r="L46" s="361"/>
      <c r="M46" s="361">
        <f>IFERROR(__xludf.DUMMYFUNCTION("""COMPUTED_VALUE"""),30.5)</f>
        <v>30.5</v>
      </c>
      <c r="N46" s="356"/>
      <c r="O46" s="307" t="str">
        <f>IFERROR(__xludf.DUMMYFUNCTION("""COMPUTED_VALUE"""),"")</f>
        <v/>
      </c>
      <c r="P46" s="307" t="str">
        <f>IFERROR(__xludf.DUMMYFUNCTION("""COMPUTED_VALUE"""),"")</f>
        <v/>
      </c>
      <c r="Q46" s="307" t="str">
        <f>IFERROR(__xludf.DUMMYFUNCTION("""COMPUTED_VALUE"""),"")</f>
        <v/>
      </c>
      <c r="R46" s="307" t="str">
        <f>IFERROR(__xludf.DUMMYFUNCTION("""COMPUTED_VALUE"""),"")</f>
        <v/>
      </c>
      <c r="S46" s="309" t="str">
        <f>IFERROR(__xludf.DUMMYFUNCTION("""COMPUTED_VALUE"""),"")</f>
        <v/>
      </c>
      <c r="T46" s="309"/>
      <c r="U46" s="309"/>
      <c r="V46" s="310"/>
      <c r="W46" s="355"/>
      <c r="X46" s="356"/>
      <c r="Y46" s="307"/>
      <c r="Z46" s="307"/>
      <c r="AA46" s="307"/>
      <c r="AB46" s="307"/>
      <c r="AC46" s="309"/>
      <c r="AD46" s="309"/>
      <c r="AE46" s="309"/>
      <c r="AF46" s="310"/>
      <c r="AG46" s="355"/>
      <c r="AH46" s="356">
        <f>IFERROR(__xludf.DUMMYFUNCTION("""COMPUTED_VALUE"""),41.0)</f>
        <v>41</v>
      </c>
      <c r="AI46" s="307" t="str">
        <f>IF($AH46=0,"",(VLOOKUP($AH46,'Пр.взв'!$D$6:$J$71,2,0)))</f>
        <v>КРЕЧЕТОВ  Никита</v>
      </c>
      <c r="AJ46" s="307" t="str">
        <f>IF($AH46=0,"",(VLOOKUP($AH46,'Пр.взв'!$D$6:$J$71,5,0)))</f>
        <v>КМС</v>
      </c>
      <c r="AK46" s="307" t="str">
        <f>IF($AH46=0,"",(VLOOKUP($AH46,'Пр.взв'!$D$6:$J$71,6,0)))</f>
        <v>ПФО</v>
      </c>
      <c r="AL46" s="307" t="str">
        <f>IF($AH46=0,"",(VLOOKUP($AH46,'Пр.взв'!$D$6:$M$71,8,0)))</f>
        <v>Самарская</v>
      </c>
      <c r="AM46" s="309"/>
      <c r="AN46" s="309"/>
      <c r="AO46" s="309"/>
      <c r="AP46" s="310"/>
    </row>
    <row r="47" ht="27.75" customHeight="1">
      <c r="A47" s="361">
        <v>43.0</v>
      </c>
      <c r="B47" s="351">
        <f t="shared" si="1"/>
        <v>42</v>
      </c>
      <c r="C47" s="352">
        <f>IFERROR(__xludf.DUMMYFUNCTION("""COMPUTED_VALUE"""),42.0)</f>
        <v>42</v>
      </c>
      <c r="D47" s="302" t="str">
        <f>IF(C47=0,"",(VLOOKUP($C47,'Пр.взв'!$D$6:$J$76,2,0)))</f>
        <v>КОЗЫРЬ Ростислав</v>
      </c>
      <c r="E47" s="302" t="str">
        <f>IF(C47=0,"",(VLOOKUP($C47,'Пр.взв'!$D$6:$J$76,5,0)))</f>
        <v>КМС</v>
      </c>
      <c r="F47" s="302" t="str">
        <f>IF(C47=0,"",(VLOOKUP($C47,'Пр.взв'!$D$6:$M$76,6,0)))</f>
        <v>ЮФО</v>
      </c>
      <c r="G47" s="302" t="str">
        <f>IF(C47=0,"",(VLOOKUP($C47,'Пр.взв'!$D$6:$M$76,8,0)))</f>
        <v>Р.Крым</v>
      </c>
      <c r="H47" s="304" t="str">
        <f>IF(C47=0,"", IF(C48=0,"СВОБОДЕН",""))</f>
        <v/>
      </c>
      <c r="I47" s="304"/>
      <c r="J47" s="304"/>
      <c r="K47" s="305"/>
      <c r="L47" s="361"/>
      <c r="M47" s="361"/>
      <c r="N47" s="352"/>
      <c r="O47" s="302"/>
      <c r="P47" s="302"/>
      <c r="Q47" s="302"/>
      <c r="R47" s="302"/>
      <c r="S47" s="304"/>
      <c r="T47" s="304"/>
      <c r="U47" s="304"/>
      <c r="V47" s="305"/>
      <c r="W47" s="355"/>
      <c r="X47" s="352"/>
      <c r="Y47" s="302"/>
      <c r="Z47" s="302"/>
      <c r="AA47" s="302"/>
      <c r="AB47" s="302"/>
      <c r="AC47" s="304"/>
      <c r="AD47" s="304"/>
      <c r="AE47" s="304"/>
      <c r="AF47" s="305"/>
      <c r="AG47" s="355"/>
      <c r="AH47" s="352">
        <f>IFERROR(__xludf.DUMMYFUNCTION("""COMPUTED_VALUE"""),42.0)</f>
        <v>42</v>
      </c>
      <c r="AI47" s="302" t="str">
        <f>IF($AH47=0,"",(VLOOKUP($AH47,'Пр.взв'!$D$6:$J$71,2,0)))</f>
        <v>КОЗЫРЬ Ростислав</v>
      </c>
      <c r="AJ47" s="302" t="str">
        <f>IF($AH47=0,"",(VLOOKUP($AH47,'Пр.взв'!$D$6:$J$71,5,0)))</f>
        <v>КМС</v>
      </c>
      <c r="AK47" s="302" t="str">
        <f>IF($AH47=0,"",(VLOOKUP($AH47,'Пр.взв'!$D$6:$J$71,6,0)))</f>
        <v>ЮФО</v>
      </c>
      <c r="AL47" s="302" t="str">
        <f>IF($AH47=0,"",(VLOOKUP($AH47,'Пр.взв'!$D$6:$M$71,8,0)))</f>
        <v>Р.Крым</v>
      </c>
      <c r="AM47" s="304" t="str">
        <f>IF(AH47=0,"", IF(AH48=0,"СВОБОДЕН",""))</f>
        <v/>
      </c>
      <c r="AN47" s="304"/>
      <c r="AO47" s="304"/>
      <c r="AP47" s="305"/>
    </row>
    <row r="48" ht="27.75" customHeight="1">
      <c r="A48" s="361">
        <v>44.0</v>
      </c>
      <c r="B48" s="351">
        <f t="shared" si="1"/>
        <v>44</v>
      </c>
      <c r="C48" s="356">
        <f>IFERROR(__xludf.DUMMYFUNCTION("""COMPUTED_VALUE"""),44.0)</f>
        <v>44</v>
      </c>
      <c r="D48" s="307" t="str">
        <f>IF(C48=0,"",(VLOOKUP($C48,'Пр.взв'!$D$6:$J$76,2,0)))</f>
        <v>КОРОСТИЕНКО Денис</v>
      </c>
      <c r="E48" s="307" t="str">
        <f>IF(C48=0,"",(VLOOKUP($C48,'Пр.взв'!$D$6:$J$76,5,0)))</f>
        <v>КМС</v>
      </c>
      <c r="F48" s="307" t="str">
        <f>IF(C48=0,"",(VLOOKUP($C48,'Пр.взв'!$D$6:$M$76,6,0)))</f>
        <v>ДВФО</v>
      </c>
      <c r="G48" s="307" t="str">
        <f>IF(C48=0,"",(VLOOKUP($C48,'Пр.взв'!$D$6:$M$76,8,0)))</f>
        <v>Хабаровский</v>
      </c>
      <c r="H48" s="309"/>
      <c r="I48" s="309"/>
      <c r="J48" s="309"/>
      <c r="K48" s="310"/>
      <c r="L48" s="361"/>
      <c r="M48" s="361"/>
      <c r="N48" s="356"/>
      <c r="O48" s="307"/>
      <c r="P48" s="307"/>
      <c r="Q48" s="307"/>
      <c r="R48" s="307"/>
      <c r="S48" s="309"/>
      <c r="T48" s="309"/>
      <c r="U48" s="309"/>
      <c r="V48" s="310"/>
      <c r="W48" s="355"/>
      <c r="X48" s="356"/>
      <c r="Y48" s="307"/>
      <c r="Z48" s="307"/>
      <c r="AA48" s="307"/>
      <c r="AB48" s="307"/>
      <c r="AC48" s="309"/>
      <c r="AD48" s="309"/>
      <c r="AE48" s="309"/>
      <c r="AF48" s="310"/>
      <c r="AG48" s="355"/>
      <c r="AH48" s="356">
        <f>IFERROR(__xludf.DUMMYFUNCTION("""COMPUTED_VALUE"""),44.0)</f>
        <v>44</v>
      </c>
      <c r="AI48" s="307" t="str">
        <f>IF($AH48=0,"",(VLOOKUP($AH48,'Пр.взв'!$D$6:$J$71,2,0)))</f>
        <v>КОРОСТИЕНКО Денис</v>
      </c>
      <c r="AJ48" s="307" t="str">
        <f>IF($AH48=0,"",(VLOOKUP($AH48,'Пр.взв'!$D$6:$J$71,5,0)))</f>
        <v>КМС</v>
      </c>
      <c r="AK48" s="307" t="str">
        <f>IF($AH48=0,"",(VLOOKUP($AH48,'Пр.взв'!$D$6:$J$71,6,0)))</f>
        <v>ДВФО</v>
      </c>
      <c r="AL48" s="307" t="str">
        <f>IF($AH48=0,"",(VLOOKUP($AH48,'Пр.взв'!$D$6:$M$71,8,0)))</f>
        <v>Хабаровский</v>
      </c>
      <c r="AM48" s="309"/>
      <c r="AN48" s="309"/>
      <c r="AO48" s="309"/>
      <c r="AP48" s="310"/>
    </row>
    <row r="49" ht="27.75" customHeight="1">
      <c r="A49" s="361">
        <v>45.0</v>
      </c>
      <c r="B49" s="351">
        <f t="shared" si="1"/>
        <v>43</v>
      </c>
      <c r="C49" s="352">
        <f>IFERROR(__xludf.DUMMYFUNCTION("""COMPUTED_VALUE"""),43.0)</f>
        <v>43</v>
      </c>
      <c r="D49" s="302" t="str">
        <f>IF(C49=0,"",(VLOOKUP($C49,'Пр.взв'!$D$6:$J$76,2,0)))</f>
        <v>ДМИТРИЕВ Сергей </v>
      </c>
      <c r="E49" s="302" t="str">
        <f>IF(C49=0,"",(VLOOKUP($C49,'Пр.взв'!$D$6:$J$76,5,0)))</f>
        <v>КМС</v>
      </c>
      <c r="F49" s="302" t="str">
        <f>IF(C49=0,"",(VLOOKUP($C49,'Пр.взв'!$D$6:$M$76,6,0)))</f>
        <v>УФО</v>
      </c>
      <c r="G49" s="302" t="str">
        <f>IF(C49=0,"",(VLOOKUP($C49,'Пр.взв'!$D$6:$M$76,8,0)))</f>
        <v>Свердловская</v>
      </c>
      <c r="H49" s="304" t="str">
        <f>IF(C49=0,"", IF(C50=0,"СВОБОДЕН",""))</f>
        <v/>
      </c>
      <c r="I49" s="304"/>
      <c r="J49" s="304"/>
      <c r="K49" s="305"/>
      <c r="L49" s="361"/>
      <c r="M49" s="361"/>
      <c r="N49" s="352"/>
      <c r="O49" s="302"/>
      <c r="P49" s="302"/>
      <c r="Q49" s="302"/>
      <c r="R49" s="302"/>
      <c r="S49" s="304"/>
      <c r="T49" s="304"/>
      <c r="U49" s="304"/>
      <c r="V49" s="305"/>
      <c r="W49" s="355"/>
      <c r="X49" s="352"/>
      <c r="Y49" s="302"/>
      <c r="Z49" s="302"/>
      <c r="AA49" s="302"/>
      <c r="AB49" s="302"/>
      <c r="AC49" s="304"/>
      <c r="AD49" s="304"/>
      <c r="AE49" s="304"/>
      <c r="AF49" s="305"/>
      <c r="AG49" s="355"/>
      <c r="AH49" s="352">
        <f>IFERROR(__xludf.DUMMYFUNCTION("""COMPUTED_VALUE"""),43.0)</f>
        <v>43</v>
      </c>
      <c r="AI49" s="302" t="str">
        <f>IF($AH49=0,"",(VLOOKUP($AH49,'Пр.взв'!$D$6:$J$71,2,0)))</f>
        <v>ДМИТРИЕВ Сергей </v>
      </c>
      <c r="AJ49" s="302" t="str">
        <f>IF($AH49=0,"",(VLOOKUP($AH49,'Пр.взв'!$D$6:$J$71,5,0)))</f>
        <v>КМС</v>
      </c>
      <c r="AK49" s="302" t="str">
        <f>IF($AH49=0,"",(VLOOKUP($AH49,'Пр.взв'!$D$6:$J$71,6,0)))</f>
        <v>УФО</v>
      </c>
      <c r="AL49" s="302" t="str">
        <f>IF($AH49=0,"",(VLOOKUP($AH49,'Пр.взв'!$D$6:$M$71,8,0)))</f>
        <v>Свердловская</v>
      </c>
      <c r="AM49" s="304" t="str">
        <f>IF(AH49=0,"", IF(AH50=0,"СВОБОДЕН",""))</f>
        <v/>
      </c>
      <c r="AN49" s="304"/>
      <c r="AO49" s="304"/>
      <c r="AP49" s="305"/>
    </row>
    <row r="50" ht="27.75" customHeight="1">
      <c r="A50" s="361">
        <v>46.0</v>
      </c>
      <c r="B50" s="351">
        <f t="shared" si="1"/>
        <v>45</v>
      </c>
      <c r="C50" s="356">
        <f>IFERROR(__xludf.DUMMYFUNCTION("""COMPUTED_VALUE"""),45.0)</f>
        <v>45</v>
      </c>
      <c r="D50" s="307" t="str">
        <f>IF(C50=0,"",(VLOOKUP($C50,'Пр.взв'!$D$6:$J$76,2,0)))</f>
        <v>ДОЛАЕВ Тимур</v>
      </c>
      <c r="E50" s="307" t="str">
        <f>IF(C50=0,"",(VLOOKUP($C50,'Пр.взв'!$D$6:$J$76,5,0)))</f>
        <v>КМС</v>
      </c>
      <c r="F50" s="307" t="str">
        <f>IF(C50=0,"",(VLOOKUP($C50,'Пр.взв'!$D$6:$M$76,6,0)))</f>
        <v>СКФО</v>
      </c>
      <c r="G50" s="307" t="str">
        <f>IF(C50=0,"",(VLOOKUP($C50,'Пр.взв'!$D$6:$M$76,8,0)))</f>
        <v>Ставропольский</v>
      </c>
      <c r="H50" s="309"/>
      <c r="I50" s="309"/>
      <c r="J50" s="309"/>
      <c r="K50" s="310"/>
      <c r="L50" s="361"/>
      <c r="M50" s="361"/>
      <c r="N50" s="356"/>
      <c r="O50" s="307"/>
      <c r="P50" s="307"/>
      <c r="Q50" s="307"/>
      <c r="R50" s="307"/>
      <c r="S50" s="309"/>
      <c r="T50" s="309"/>
      <c r="U50" s="309"/>
      <c r="V50" s="310"/>
      <c r="W50" s="355"/>
      <c r="X50" s="356"/>
      <c r="Y50" s="307"/>
      <c r="Z50" s="307"/>
      <c r="AA50" s="307"/>
      <c r="AB50" s="307"/>
      <c r="AC50" s="309"/>
      <c r="AD50" s="309"/>
      <c r="AE50" s="309"/>
      <c r="AF50" s="310"/>
      <c r="AG50" s="355"/>
      <c r="AH50" s="356">
        <f>IFERROR(__xludf.DUMMYFUNCTION("""COMPUTED_VALUE"""),45.0)</f>
        <v>45</v>
      </c>
      <c r="AI50" s="307" t="str">
        <f>IF($AH50=0,"",(VLOOKUP($AH50,'Пр.взв'!$D$6:$J$71,2,0)))</f>
        <v>ДОЛАЕВ Тимур</v>
      </c>
      <c r="AJ50" s="307" t="str">
        <f>IF($AH50=0,"",(VLOOKUP($AH50,'Пр.взв'!$D$6:$J$71,5,0)))</f>
        <v>КМС</v>
      </c>
      <c r="AK50" s="307" t="str">
        <f>IF($AH50=0,"",(VLOOKUP($AH50,'Пр.взв'!$D$6:$J$71,6,0)))</f>
        <v>СКФО</v>
      </c>
      <c r="AL50" s="307" t="str">
        <f>IF($AH50=0,"",(VLOOKUP($AH50,'Пр.взв'!$D$6:$M$71,8,0)))</f>
        <v>Ставропольский</v>
      </c>
      <c r="AM50" s="309"/>
      <c r="AN50" s="309"/>
      <c r="AO50" s="309"/>
      <c r="AP50" s="310"/>
    </row>
    <row r="51" ht="27.75" customHeight="1">
      <c r="A51" s="361">
        <v>47.0</v>
      </c>
      <c r="B51" s="351">
        <f t="shared" si="1"/>
        <v>46</v>
      </c>
      <c r="C51" s="352">
        <f>IFERROR(__xludf.DUMMYFUNCTION("""COMPUTED_VALUE"""),46.0)</f>
        <v>46</v>
      </c>
      <c r="D51" s="302" t="str">
        <f>IF(C51=0,"",(VLOOKUP($C51,'Пр.взв'!$D$6:$J$76,2,0)))</f>
        <v>СЕМЕНОВ Богдан</v>
      </c>
      <c r="E51" s="302" t="str">
        <f>IF(C51=0,"",(VLOOKUP($C51,'Пр.взв'!$D$6:$J$76,5,0)))</f>
        <v>КМС</v>
      </c>
      <c r="F51" s="302" t="str">
        <f>IF(C51=0,"",(VLOOKUP($C51,'Пр.взв'!$D$6:$M$76,6,0)))</f>
        <v>ПФО</v>
      </c>
      <c r="G51" s="302" t="str">
        <f>IF(C51=0,"",(VLOOKUP($C51,'Пр.взв'!$D$6:$M$76,8,0)))</f>
        <v>Пензенская</v>
      </c>
      <c r="H51" s="304" t="str">
        <f>IF(C51=0,"", IF(C52=0,"СВОБОДЕН",""))</f>
        <v/>
      </c>
      <c r="I51" s="304"/>
      <c r="J51" s="304"/>
      <c r="K51" s="305"/>
      <c r="L51" s="361"/>
      <c r="M51" s="361"/>
      <c r="N51" s="352"/>
      <c r="O51" s="302"/>
      <c r="P51" s="302"/>
      <c r="Q51" s="302"/>
      <c r="R51" s="302"/>
      <c r="S51" s="304"/>
      <c r="T51" s="304"/>
      <c r="U51" s="304"/>
      <c r="V51" s="305"/>
      <c r="W51" s="355"/>
      <c r="X51" s="352"/>
      <c r="Y51" s="302"/>
      <c r="Z51" s="302"/>
      <c r="AA51" s="302"/>
      <c r="AB51" s="302"/>
      <c r="AC51" s="304"/>
      <c r="AD51" s="304"/>
      <c r="AE51" s="304"/>
      <c r="AF51" s="305"/>
      <c r="AG51" s="355"/>
      <c r="AH51" s="352">
        <f>IFERROR(__xludf.DUMMYFUNCTION("""COMPUTED_VALUE"""),46.0)</f>
        <v>46</v>
      </c>
      <c r="AI51" s="302" t="str">
        <f>IF($AH51=0,"",(VLOOKUP($AH51,'Пр.взв'!$D$6:$J$71,2,0)))</f>
        <v>СЕМЕНОВ Богдан</v>
      </c>
      <c r="AJ51" s="302" t="str">
        <f>IF($AH51=0,"",(VLOOKUP($AH51,'Пр.взв'!$D$6:$J$71,5,0)))</f>
        <v>КМС</v>
      </c>
      <c r="AK51" s="302" t="str">
        <f>IF($AH51=0,"",(VLOOKUP($AH51,'Пр.взв'!$D$6:$J$71,6,0)))</f>
        <v>ПФО</v>
      </c>
      <c r="AL51" s="302" t="str">
        <f>IF($AH51=0,"",(VLOOKUP($AH51,'Пр.взв'!$D$6:$M$71,8,0)))</f>
        <v>Пензенская</v>
      </c>
      <c r="AM51" s="304" t="str">
        <f>IF(AH51=0,"", IF(AH52=0,"СВОБОДЕН",""))</f>
        <v/>
      </c>
      <c r="AN51" s="304"/>
      <c r="AO51" s="304"/>
      <c r="AP51" s="305"/>
    </row>
    <row r="52" ht="27.75" customHeight="1">
      <c r="A52" s="361">
        <v>48.0</v>
      </c>
      <c r="B52" s="351">
        <f t="shared" si="1"/>
        <v>48</v>
      </c>
      <c r="C52" s="356">
        <f>IFERROR(__xludf.DUMMYFUNCTION("""COMPUTED_VALUE"""),48.0)</f>
        <v>48</v>
      </c>
      <c r="D52" s="307" t="str">
        <f>IF(C52=0,"",(VLOOKUP($C52,'Пр.взв'!$D$6:$J$76,2,0)))</f>
        <v>ТУКСУМБАЕВ Артём</v>
      </c>
      <c r="E52" s="307" t="str">
        <f>IF(C52=0,"",(VLOOKUP($C52,'Пр.взв'!$D$6:$J$76,5,0)))</f>
        <v>КМС</v>
      </c>
      <c r="F52" s="307" t="str">
        <f>IF(C52=0,"",(VLOOKUP($C52,'Пр.взв'!$D$6:$M$76,6,0)))</f>
        <v>СФО</v>
      </c>
      <c r="G52" s="307" t="str">
        <f>IF(C52=0,"",(VLOOKUP($C52,'Пр.взв'!$D$6:$M$76,8,0)))</f>
        <v>Алтайский</v>
      </c>
      <c r="H52" s="309"/>
      <c r="I52" s="309"/>
      <c r="J52" s="309"/>
      <c r="K52" s="310"/>
      <c r="L52" s="361"/>
      <c r="M52" s="361"/>
      <c r="N52" s="356"/>
      <c r="O52" s="307"/>
      <c r="P52" s="307"/>
      <c r="Q52" s="307"/>
      <c r="R52" s="307"/>
      <c r="S52" s="309"/>
      <c r="T52" s="309"/>
      <c r="U52" s="309"/>
      <c r="V52" s="310"/>
      <c r="W52" s="355"/>
      <c r="X52" s="356"/>
      <c r="Y52" s="307"/>
      <c r="Z52" s="307"/>
      <c r="AA52" s="307"/>
      <c r="AB52" s="307"/>
      <c r="AC52" s="309"/>
      <c r="AD52" s="309"/>
      <c r="AE52" s="309"/>
      <c r="AF52" s="310"/>
      <c r="AG52" s="355"/>
      <c r="AH52" s="356">
        <f>IFERROR(__xludf.DUMMYFUNCTION("""COMPUTED_VALUE"""),48.0)</f>
        <v>48</v>
      </c>
      <c r="AI52" s="307" t="str">
        <f>IF($AH52=0,"",(VLOOKUP($AH52,'Пр.взв'!$D$6:$J$71,2,0)))</f>
        <v>ТУКСУМБАЕВ Артём</v>
      </c>
      <c r="AJ52" s="307" t="str">
        <f>IF($AH52=0,"",(VLOOKUP($AH52,'Пр.взв'!$D$6:$J$71,5,0)))</f>
        <v>КМС</v>
      </c>
      <c r="AK52" s="307" t="str">
        <f>IF($AH52=0,"",(VLOOKUP($AH52,'Пр.взв'!$D$6:$J$71,6,0)))</f>
        <v>СФО</v>
      </c>
      <c r="AL52" s="307" t="str">
        <f>IF($AH52=0,"",(VLOOKUP($AH52,'Пр.взв'!$D$6:$M$71,8,0)))</f>
        <v>Алтайский</v>
      </c>
      <c r="AM52" s="309"/>
      <c r="AN52" s="309"/>
      <c r="AO52" s="309"/>
      <c r="AP52" s="310"/>
    </row>
    <row r="53" ht="27.75" customHeight="1">
      <c r="A53" s="361">
        <v>49.0</v>
      </c>
      <c r="B53" s="351">
        <f t="shared" si="1"/>
        <v>47</v>
      </c>
      <c r="C53" s="352">
        <f>IFERROR(__xludf.DUMMYFUNCTION("""COMPUTED_VALUE"""),47.0)</f>
        <v>47</v>
      </c>
      <c r="D53" s="302" t="str">
        <f>IF(C53=0,"",(VLOOKUP($C53,'Пр.взв'!$D$6:$J$76,2,0)))</f>
        <v>ПРАВЕДНИКОВ Илья</v>
      </c>
      <c r="E53" s="302" t="str">
        <f>IF(C53=0,"",(VLOOKUP($C53,'Пр.взв'!$D$6:$J$76,5,0)))</f>
        <v>1р</v>
      </c>
      <c r="F53" s="302" t="str">
        <f>IF(C53=0,"",(VLOOKUP($C53,'Пр.взв'!$D$6:$M$76,6,0)))</f>
        <v>ДВФО</v>
      </c>
      <c r="G53" s="302" t="str">
        <f>IF(C53=0,"",(VLOOKUP($C53,'Пр.взв'!$D$6:$M$76,8,0)))</f>
        <v>Приморский</v>
      </c>
      <c r="H53" s="304" t="str">
        <f>IF(C53=0,"", IF(C54=0,"СВОБОДЕН",""))</f>
        <v/>
      </c>
      <c r="I53" s="304"/>
      <c r="J53" s="304"/>
      <c r="K53" s="305"/>
      <c r="L53" s="361"/>
      <c r="M53" s="361"/>
      <c r="N53" s="352"/>
      <c r="O53" s="302"/>
      <c r="P53" s="302"/>
      <c r="Q53" s="302"/>
      <c r="R53" s="302"/>
      <c r="S53" s="304"/>
      <c r="T53" s="304"/>
      <c r="U53" s="304"/>
      <c r="V53" s="305"/>
      <c r="W53" s="355"/>
      <c r="X53" s="352"/>
      <c r="Y53" s="302"/>
      <c r="Z53" s="302"/>
      <c r="AA53" s="302"/>
      <c r="AB53" s="302"/>
      <c r="AC53" s="304"/>
      <c r="AD53" s="304"/>
      <c r="AE53" s="304"/>
      <c r="AF53" s="305"/>
      <c r="AG53" s="355"/>
      <c r="AH53" s="352">
        <f>IFERROR(__xludf.DUMMYFUNCTION("""COMPUTED_VALUE"""),47.0)</f>
        <v>47</v>
      </c>
      <c r="AI53" s="302" t="str">
        <f>IF($AH53=0,"",(VLOOKUP($AH53,'Пр.взв'!$D$6:$J$71,2,0)))</f>
        <v>ПРАВЕДНИКОВ Илья</v>
      </c>
      <c r="AJ53" s="302" t="str">
        <f>IF($AH53=0,"",(VLOOKUP($AH53,'Пр.взв'!$D$6:$J$71,5,0)))</f>
        <v>1р</v>
      </c>
      <c r="AK53" s="302" t="str">
        <f>IF($AH53=0,"",(VLOOKUP($AH53,'Пр.взв'!$D$6:$J$71,6,0)))</f>
        <v>ДВФО</v>
      </c>
      <c r="AL53" s="302" t="str">
        <f>IF($AH53=0,"",(VLOOKUP($AH53,'Пр.взв'!$D$6:$M$71,8,0)))</f>
        <v>Приморский</v>
      </c>
      <c r="AM53" s="304" t="str">
        <f>IF(AH53=0,"", IF(AH54=0,"СВОБОДЕН",""))</f>
        <v/>
      </c>
      <c r="AN53" s="304"/>
      <c r="AO53" s="304"/>
      <c r="AP53" s="305"/>
    </row>
    <row r="54" ht="27.75" customHeight="1">
      <c r="A54" s="361">
        <v>50.0</v>
      </c>
      <c r="B54" s="351">
        <f t="shared" si="1"/>
        <v>49</v>
      </c>
      <c r="C54" s="356">
        <f>IFERROR(__xludf.DUMMYFUNCTION("""COMPUTED_VALUE"""),49.0)</f>
        <v>49</v>
      </c>
      <c r="D54" s="307" t="str">
        <f>IF(C54=0,"",(VLOOKUP($C54,'Пр.взв'!$D$6:$J$76,2,0)))</f>
        <v>КИРИЯК Денис</v>
      </c>
      <c r="E54" s="307" t="str">
        <f>IF(C54=0,"",(VLOOKUP($C54,'Пр.взв'!$D$6:$J$76,5,0)))</f>
        <v>КМС</v>
      </c>
      <c r="F54" s="307" t="str">
        <f>IF(C54=0,"",(VLOOKUP($C54,'Пр.взв'!$D$6:$M$76,6,0)))</f>
        <v>МОС</v>
      </c>
      <c r="G54" s="307" t="str">
        <f>IF(C54=0,"",(VLOOKUP($C54,'Пр.взв'!$D$6:$M$76,8,0)))</f>
        <v>Москва</v>
      </c>
      <c r="H54" s="309"/>
      <c r="I54" s="309"/>
      <c r="J54" s="309"/>
      <c r="K54" s="310"/>
      <c r="L54" s="361"/>
      <c r="M54" s="361"/>
      <c r="N54" s="356"/>
      <c r="O54" s="307"/>
      <c r="P54" s="307"/>
      <c r="Q54" s="307"/>
      <c r="R54" s="307"/>
      <c r="S54" s="309"/>
      <c r="T54" s="309"/>
      <c r="U54" s="309"/>
      <c r="V54" s="310"/>
      <c r="W54" s="355"/>
      <c r="X54" s="356"/>
      <c r="Y54" s="307"/>
      <c r="Z54" s="307"/>
      <c r="AA54" s="307"/>
      <c r="AB54" s="307"/>
      <c r="AC54" s="309"/>
      <c r="AD54" s="309"/>
      <c r="AE54" s="309"/>
      <c r="AF54" s="310"/>
      <c r="AG54" s="355"/>
      <c r="AH54" s="356">
        <f>IFERROR(__xludf.DUMMYFUNCTION("""COMPUTED_VALUE"""),49.0)</f>
        <v>49</v>
      </c>
      <c r="AI54" s="307" t="str">
        <f>IF($AH54=0,"",(VLOOKUP($AH54,'Пр.взв'!$D$6:$J$71,2,0)))</f>
        <v>КИРИЯК Денис</v>
      </c>
      <c r="AJ54" s="307" t="str">
        <f>IF($AH54=0,"",(VLOOKUP($AH54,'Пр.взв'!$D$6:$J$71,5,0)))</f>
        <v>КМС</v>
      </c>
      <c r="AK54" s="307" t="str">
        <f>IF($AH54=0,"",(VLOOKUP($AH54,'Пр.взв'!$D$6:$J$71,6,0)))</f>
        <v>МОС</v>
      </c>
      <c r="AL54" s="307" t="str">
        <f>IF($AH54=0,"",(VLOOKUP($AH54,'Пр.взв'!$D$6:$M$71,8,0)))</f>
        <v>Москва</v>
      </c>
      <c r="AM54" s="309"/>
      <c r="AN54" s="309"/>
      <c r="AO54" s="309"/>
      <c r="AP54" s="310"/>
    </row>
    <row r="55" ht="27.75" customHeight="1">
      <c r="A55" s="361">
        <v>51.0</v>
      </c>
      <c r="B55" s="351">
        <f t="shared" si="1"/>
        <v>50</v>
      </c>
      <c r="C55" s="352">
        <f>IFERROR(__xludf.DUMMYFUNCTION("""COMPUTED_VALUE"""),50.0)</f>
        <v>50</v>
      </c>
      <c r="D55" s="302" t="str">
        <f>IF(C55=0,"",(VLOOKUP($C55,'Пр.взв'!$D$6:$J$76,2,0)))</f>
        <v>ХАКУЙ Ислам</v>
      </c>
      <c r="E55" s="302" t="str">
        <f>IF(C55=0,"",(VLOOKUP($C55,'Пр.взв'!$D$6:$J$76,5,0)))</f>
        <v>КМС</v>
      </c>
      <c r="F55" s="302" t="str">
        <f>IF(C55=0,"",(VLOOKUP($C55,'Пр.взв'!$D$6:$M$76,6,0)))</f>
        <v>ЮФО</v>
      </c>
      <c r="G55" s="302" t="str">
        <f>IF(C55=0,"",(VLOOKUP($C55,'Пр.взв'!$D$6:$M$76,8,0)))</f>
        <v>Р.Адыгея</v>
      </c>
      <c r="H55" s="304" t="str">
        <f>IF(C55=0,"", IF(C56=0,"СВОБОДЕН",""))</f>
        <v/>
      </c>
      <c r="I55" s="304"/>
      <c r="J55" s="304"/>
      <c r="K55" s="305"/>
      <c r="L55" s="361"/>
      <c r="M55" s="361"/>
      <c r="N55" s="352"/>
      <c r="O55" s="302"/>
      <c r="P55" s="302"/>
      <c r="Q55" s="302"/>
      <c r="R55" s="302"/>
      <c r="S55" s="304"/>
      <c r="T55" s="304"/>
      <c r="U55" s="304"/>
      <c r="V55" s="305"/>
      <c r="W55" s="355"/>
      <c r="X55" s="352"/>
      <c r="Y55" s="302"/>
      <c r="Z55" s="302"/>
      <c r="AA55" s="302"/>
      <c r="AB55" s="302"/>
      <c r="AC55" s="304"/>
      <c r="AD55" s="304"/>
      <c r="AE55" s="304"/>
      <c r="AF55" s="305"/>
      <c r="AG55" s="355"/>
      <c r="AH55" s="352">
        <f>IFERROR(__xludf.DUMMYFUNCTION("""COMPUTED_VALUE"""),50.0)</f>
        <v>50</v>
      </c>
      <c r="AI55" s="302" t="str">
        <f>IF($AH55=0,"",(VLOOKUP($AH55,'Пр.взв'!$D$6:$J$71,2,0)))</f>
        <v>ХАКУЙ Ислам</v>
      </c>
      <c r="AJ55" s="302" t="str">
        <f>IF($AH55=0,"",(VLOOKUP($AH55,'Пр.взв'!$D$6:$J$71,5,0)))</f>
        <v>КМС</v>
      </c>
      <c r="AK55" s="302" t="str">
        <f>IF($AH55=0,"",(VLOOKUP($AH55,'Пр.взв'!$D$6:$J$71,6,0)))</f>
        <v>ЮФО</v>
      </c>
      <c r="AL55" s="302" t="str">
        <f>IF($AH55=0,"",(VLOOKUP($AH55,'Пр.взв'!$D$6:$M$71,8,0)))</f>
        <v>Р.Адыгея</v>
      </c>
      <c r="AM55" s="304" t="str">
        <f>IF(AH55=0,"", IF(AH56=0,"СВОБОДЕН",""))</f>
        <v/>
      </c>
      <c r="AN55" s="304"/>
      <c r="AO55" s="304"/>
      <c r="AP55" s="305"/>
    </row>
    <row r="56" ht="27.75" customHeight="1">
      <c r="A56" s="361">
        <v>52.0</v>
      </c>
      <c r="B56" s="351">
        <f t="shared" si="1"/>
        <v>52</v>
      </c>
      <c r="C56" s="356">
        <f>IFERROR(__xludf.DUMMYFUNCTION("""COMPUTED_VALUE"""),52.0)</f>
        <v>52</v>
      </c>
      <c r="D56" s="307" t="str">
        <f>IF(C56=0,"",(VLOOKUP($C56,'Пр.взв'!$D$6:$J$76,2,0)))</f>
        <v>РУШЕВ Николай</v>
      </c>
      <c r="E56" s="307" t="str">
        <f>IF(C56=0,"",(VLOOKUP($C56,'Пр.взв'!$D$6:$J$76,5,0)))</f>
        <v>КМС</v>
      </c>
      <c r="F56" s="307" t="str">
        <f>IF(C56=0,"",(VLOOKUP($C56,'Пр.взв'!$D$6:$M$76,6,0)))</f>
        <v>МОС</v>
      </c>
      <c r="G56" s="307" t="str">
        <f>IF(C56=0,"",(VLOOKUP($C56,'Пр.взв'!$D$6:$M$76,8,0)))</f>
        <v>Москва</v>
      </c>
      <c r="H56" s="309"/>
      <c r="I56" s="309"/>
      <c r="J56" s="309"/>
      <c r="K56" s="310"/>
      <c r="L56" s="361"/>
      <c r="M56" s="361"/>
      <c r="N56" s="356"/>
      <c r="O56" s="307"/>
      <c r="P56" s="307"/>
      <c r="Q56" s="307"/>
      <c r="R56" s="307"/>
      <c r="S56" s="309"/>
      <c r="T56" s="309"/>
      <c r="U56" s="309"/>
      <c r="V56" s="310"/>
      <c r="W56" s="355"/>
      <c r="X56" s="356"/>
      <c r="Y56" s="307"/>
      <c r="Z56" s="307"/>
      <c r="AA56" s="307"/>
      <c r="AB56" s="307"/>
      <c r="AC56" s="309"/>
      <c r="AD56" s="309"/>
      <c r="AE56" s="309"/>
      <c r="AF56" s="310"/>
      <c r="AG56" s="355"/>
      <c r="AH56" s="356">
        <f>IFERROR(__xludf.DUMMYFUNCTION("""COMPUTED_VALUE"""),52.0)</f>
        <v>52</v>
      </c>
      <c r="AI56" s="307" t="str">
        <f>IF($AH56=0,"",(VLOOKUP($AH56,'Пр.взв'!$D$6:$J$71,2,0)))</f>
        <v>РУШЕВ Николай</v>
      </c>
      <c r="AJ56" s="307" t="str">
        <f>IF($AH56=0,"",(VLOOKUP($AH56,'Пр.взв'!$D$6:$J$71,5,0)))</f>
        <v>КМС</v>
      </c>
      <c r="AK56" s="307" t="str">
        <f>IF($AH56=0,"",(VLOOKUP($AH56,'Пр.взв'!$D$6:$J$71,6,0)))</f>
        <v>МОС</v>
      </c>
      <c r="AL56" s="307" t="str">
        <f>IF($AH56=0,"",(VLOOKUP($AH56,'Пр.взв'!$D$6:$M$71,8,0)))</f>
        <v>Москва</v>
      </c>
      <c r="AM56" s="309"/>
      <c r="AN56" s="309"/>
      <c r="AO56" s="309"/>
      <c r="AP56" s="310"/>
    </row>
    <row r="57" ht="27.75" customHeight="1">
      <c r="A57" s="361">
        <v>53.0</v>
      </c>
      <c r="B57" s="351">
        <f t="shared" si="1"/>
        <v>51</v>
      </c>
      <c r="C57" s="352">
        <f>IFERROR(__xludf.DUMMYFUNCTION("""COMPUTED_VALUE"""),51.0)</f>
        <v>51</v>
      </c>
      <c r="D57" s="302" t="str">
        <f>IF(C57=0,"",(VLOOKUP($C57,'Пр.взв'!$D$6:$J$76,2,0)))</f>
        <v>ГОРШКОВ Фёдор</v>
      </c>
      <c r="E57" s="302" t="str">
        <f>IF(C57=0,"",(VLOOKUP($C57,'Пр.взв'!$D$6:$J$76,5,0)))</f>
        <v>КМС</v>
      </c>
      <c r="F57" s="302" t="str">
        <f>IF(C57=0,"",(VLOOKUP($C57,'Пр.взв'!$D$6:$M$76,6,0)))</f>
        <v>СПБ</v>
      </c>
      <c r="G57" s="302" t="str">
        <f>IF(C57=0,"",(VLOOKUP($C57,'Пр.взв'!$D$6:$M$76,8,0)))</f>
        <v>Санкт-Петербург</v>
      </c>
      <c r="H57" s="304" t="str">
        <f>IF(C57=0,"", IF(C58=0,"СВОБОДЕН",""))</f>
        <v/>
      </c>
      <c r="I57" s="304"/>
      <c r="J57" s="304"/>
      <c r="K57" s="305"/>
      <c r="L57" s="361"/>
      <c r="M57" s="361"/>
      <c r="N57" s="352"/>
      <c r="O57" s="302"/>
      <c r="P57" s="302"/>
      <c r="Q57" s="302"/>
      <c r="R57" s="302"/>
      <c r="S57" s="304"/>
      <c r="T57" s="304"/>
      <c r="U57" s="304"/>
      <c r="V57" s="305"/>
      <c r="W57" s="355"/>
      <c r="X57" s="352"/>
      <c r="Y57" s="302"/>
      <c r="Z57" s="302"/>
      <c r="AA57" s="302"/>
      <c r="AB57" s="302"/>
      <c r="AC57" s="304"/>
      <c r="AD57" s="304"/>
      <c r="AE57" s="304"/>
      <c r="AF57" s="305"/>
      <c r="AG57" s="355"/>
      <c r="AH57" s="352">
        <f>IFERROR(__xludf.DUMMYFUNCTION("""COMPUTED_VALUE"""),51.0)</f>
        <v>51</v>
      </c>
      <c r="AI57" s="302" t="str">
        <f>IF($AH57=0,"",(VLOOKUP($AH57,'Пр.взв'!$D$6:$J$71,2,0)))</f>
        <v>ГОРШКОВ Фёдор</v>
      </c>
      <c r="AJ57" s="302" t="str">
        <f>IF($AH57=0,"",(VLOOKUP($AH57,'Пр.взв'!$D$6:$J$71,5,0)))</f>
        <v>КМС</v>
      </c>
      <c r="AK57" s="302" t="str">
        <f>IF($AH57=0,"",(VLOOKUP($AH57,'Пр.взв'!$D$6:$J$71,6,0)))</f>
        <v>СПБ</v>
      </c>
      <c r="AL57" s="302" t="str">
        <f>IF($AH57=0,"",(VLOOKUP($AH57,'Пр.взв'!$D$6:$M$71,8,0)))</f>
        <v>Санкт-Петербург</v>
      </c>
      <c r="AM57" s="304" t="str">
        <f>IF(AH57=0,"", IF(AH58=0,"СВОБОДЕН",""))</f>
        <v/>
      </c>
      <c r="AN57" s="304"/>
      <c r="AO57" s="304"/>
      <c r="AP57" s="305"/>
    </row>
    <row r="58" ht="27.75" customHeight="1">
      <c r="A58" s="361">
        <v>54.0</v>
      </c>
      <c r="B58" s="351">
        <f t="shared" si="1"/>
        <v>53</v>
      </c>
      <c r="C58" s="356">
        <f>IFERROR(__xludf.DUMMYFUNCTION("""COMPUTED_VALUE"""),53.0)</f>
        <v>53</v>
      </c>
      <c r="D58" s="307" t="str">
        <f>IF(C58=0,"",(VLOOKUP($C58,'Пр.взв'!$D$6:$J$76,2,0)))</f>
        <v>ГОЛОВ Глеб</v>
      </c>
      <c r="E58" s="307" t="str">
        <f>IF(C58=0,"",(VLOOKUP($C58,'Пр.взв'!$D$6:$J$76,5,0)))</f>
        <v>КМС</v>
      </c>
      <c r="F58" s="307" t="str">
        <f>IF(C58=0,"",(VLOOKUP($C58,'Пр.взв'!$D$6:$M$76,6,0)))</f>
        <v>ПФО</v>
      </c>
      <c r="G58" s="307" t="str">
        <f>IF(C58=0,"",(VLOOKUP($C58,'Пр.взв'!$D$6:$M$76,8,0)))</f>
        <v>Чувашская</v>
      </c>
      <c r="H58" s="309"/>
      <c r="I58" s="309"/>
      <c r="J58" s="309"/>
      <c r="K58" s="310"/>
      <c r="L58" s="361"/>
      <c r="M58" s="361"/>
      <c r="N58" s="356"/>
      <c r="O58" s="307"/>
      <c r="P58" s="307"/>
      <c r="Q58" s="307"/>
      <c r="R58" s="307"/>
      <c r="S58" s="309"/>
      <c r="T58" s="309"/>
      <c r="U58" s="309"/>
      <c r="V58" s="310"/>
      <c r="W58" s="355"/>
      <c r="X58" s="356"/>
      <c r="Y58" s="307"/>
      <c r="Z58" s="307"/>
      <c r="AA58" s="307"/>
      <c r="AB58" s="307"/>
      <c r="AC58" s="309"/>
      <c r="AD58" s="309"/>
      <c r="AE58" s="309"/>
      <c r="AF58" s="310"/>
      <c r="AG58" s="355"/>
      <c r="AH58" s="356">
        <f>IFERROR(__xludf.DUMMYFUNCTION("""COMPUTED_VALUE"""),53.0)</f>
        <v>53</v>
      </c>
      <c r="AI58" s="307" t="str">
        <f>IF($AH58=0,"",(VLOOKUP($AH58,'Пр.взв'!$D$6:$J$71,2,0)))</f>
        <v>ГОЛОВ Глеб</v>
      </c>
      <c r="AJ58" s="307" t="str">
        <f>IF($AH58=0,"",(VLOOKUP($AH58,'Пр.взв'!$D$6:$J$71,5,0)))</f>
        <v>КМС</v>
      </c>
      <c r="AK58" s="307" t="str">
        <f>IF($AH58=0,"",(VLOOKUP($AH58,'Пр.взв'!$D$6:$J$71,6,0)))</f>
        <v>ПФО</v>
      </c>
      <c r="AL58" s="307" t="str">
        <f>IF($AH58=0,"",(VLOOKUP($AH58,'Пр.взв'!$D$6:$M$71,8,0)))</f>
        <v>Чувашская</v>
      </c>
      <c r="AM58" s="309"/>
      <c r="AN58" s="309"/>
      <c r="AO58" s="309"/>
      <c r="AP58" s="310"/>
    </row>
    <row r="59" ht="27.75" customHeight="1">
      <c r="A59" s="361">
        <v>55.0</v>
      </c>
      <c r="B59" s="351">
        <f t="shared" si="1"/>
        <v>54</v>
      </c>
      <c r="C59" s="352">
        <f>IFERROR(__xludf.DUMMYFUNCTION("""COMPUTED_VALUE"""),54.0)</f>
        <v>54</v>
      </c>
      <c r="D59" s="302" t="str">
        <f>IF(C59=0,"",(VLOOKUP($C59,'Пр.взв'!$D$6:$J$76,2,0)))</f>
        <v>ЛОГИНОВ  Владимир </v>
      </c>
      <c r="E59" s="302" t="str">
        <f>IF(C59=0,"",(VLOOKUP($C59,'Пр.взв'!$D$6:$J$76,5,0)))</f>
        <v>КМС</v>
      </c>
      <c r="F59" s="302" t="str">
        <f>IF(C59=0,"",(VLOOKUP($C59,'Пр.взв'!$D$6:$M$76,6,0)))</f>
        <v>ПФО</v>
      </c>
      <c r="G59" s="302" t="str">
        <f>IF(C59=0,"",(VLOOKUP($C59,'Пр.взв'!$D$6:$M$76,8,0)))</f>
        <v>Саратовская</v>
      </c>
      <c r="H59" s="304" t="str">
        <f>IF(C59=0,"", IF(C60=0,"СВОБОДЕН",""))</f>
        <v/>
      </c>
      <c r="I59" s="304"/>
      <c r="J59" s="304"/>
      <c r="K59" s="305"/>
      <c r="L59" s="361"/>
      <c r="M59" s="361"/>
      <c r="N59" s="352"/>
      <c r="O59" s="302"/>
      <c r="P59" s="302"/>
      <c r="Q59" s="302"/>
      <c r="R59" s="302"/>
      <c r="S59" s="304"/>
      <c r="T59" s="304"/>
      <c r="U59" s="304"/>
      <c r="V59" s="305"/>
      <c r="W59" s="355"/>
      <c r="X59" s="352"/>
      <c r="Y59" s="302"/>
      <c r="Z59" s="302"/>
      <c r="AA59" s="302"/>
      <c r="AB59" s="302"/>
      <c r="AC59" s="304"/>
      <c r="AD59" s="304"/>
      <c r="AE59" s="304"/>
      <c r="AF59" s="305"/>
      <c r="AG59" s="355"/>
      <c r="AH59" s="352">
        <f>IFERROR(__xludf.DUMMYFUNCTION("""COMPUTED_VALUE"""),54.0)</f>
        <v>54</v>
      </c>
      <c r="AI59" s="302" t="str">
        <f>IF($AH59=0,"",(VLOOKUP($AH59,'Пр.взв'!$D$6:$J$71,2,0)))</f>
        <v>ЛОГИНОВ  Владимир </v>
      </c>
      <c r="AJ59" s="302" t="str">
        <f>IF($AH59=0,"",(VLOOKUP($AH59,'Пр.взв'!$D$6:$J$71,5,0)))</f>
        <v>КМС</v>
      </c>
      <c r="AK59" s="302" t="str">
        <f>IF($AH59=0,"",(VLOOKUP($AH59,'Пр.взв'!$D$6:$J$71,6,0)))</f>
        <v>ПФО</v>
      </c>
      <c r="AL59" s="302" t="str">
        <f>IF($AH59=0,"",(VLOOKUP($AH59,'Пр.взв'!$D$6:$M$71,8,0)))</f>
        <v>Саратовская</v>
      </c>
      <c r="AM59" s="304" t="str">
        <f>IF(AH59=0,"", IF(AH60=0,"СВОБОДЕН",""))</f>
        <v/>
      </c>
      <c r="AN59" s="304"/>
      <c r="AO59" s="304"/>
      <c r="AP59" s="305"/>
    </row>
    <row r="60" ht="27.75" customHeight="1">
      <c r="A60" s="361">
        <v>56.0</v>
      </c>
      <c r="B60" s="351">
        <f t="shared" si="1"/>
        <v>56</v>
      </c>
      <c r="C60" s="356">
        <f>IFERROR(__xludf.DUMMYFUNCTION("""COMPUTED_VALUE"""),56.0)</f>
        <v>56</v>
      </c>
      <c r="D60" s="307" t="str">
        <f>IF(C60=0,"",(VLOOKUP($C60,'Пр.взв'!$D$6:$J$76,2,0)))</f>
        <v>ГРУЗАН Денис</v>
      </c>
      <c r="E60" s="307" t="str">
        <f>IF(C60=0,"",(VLOOKUP($C60,'Пр.взв'!$D$6:$J$76,5,0)))</f>
        <v>КМС</v>
      </c>
      <c r="F60" s="307" t="str">
        <f>IF(C60=0,"",(VLOOKUP($C60,'Пр.взв'!$D$6:$M$76,6,0)))</f>
        <v>УФО</v>
      </c>
      <c r="G60" s="307" t="str">
        <f>IF(C60=0,"",(VLOOKUP($C60,'Пр.взв'!$D$6:$M$76,8,0)))</f>
        <v>Свердловская</v>
      </c>
      <c r="H60" s="309"/>
      <c r="I60" s="309"/>
      <c r="J60" s="309"/>
      <c r="K60" s="310"/>
      <c r="L60" s="361"/>
      <c r="M60" s="361"/>
      <c r="N60" s="356"/>
      <c r="O60" s="307"/>
      <c r="P60" s="307"/>
      <c r="Q60" s="307"/>
      <c r="R60" s="307"/>
      <c r="S60" s="309"/>
      <c r="T60" s="309"/>
      <c r="U60" s="309"/>
      <c r="V60" s="310"/>
      <c r="W60" s="355"/>
      <c r="X60" s="356"/>
      <c r="Y60" s="307"/>
      <c r="Z60" s="307"/>
      <c r="AA60" s="307"/>
      <c r="AB60" s="307"/>
      <c r="AC60" s="309"/>
      <c r="AD60" s="309"/>
      <c r="AE60" s="309"/>
      <c r="AF60" s="310"/>
      <c r="AG60" s="355"/>
      <c r="AH60" s="356">
        <f>IFERROR(__xludf.DUMMYFUNCTION("""COMPUTED_VALUE"""),56.0)</f>
        <v>56</v>
      </c>
      <c r="AI60" s="307" t="str">
        <f>IF($AH60=0,"",(VLOOKUP($AH60,'Пр.взв'!$D$6:$J$71,2,0)))</f>
        <v>ГРУЗАН Денис</v>
      </c>
      <c r="AJ60" s="307" t="str">
        <f>IF($AH60=0,"",(VLOOKUP($AH60,'Пр.взв'!$D$6:$J$71,5,0)))</f>
        <v>КМС</v>
      </c>
      <c r="AK60" s="307" t="str">
        <f>IF($AH60=0,"",(VLOOKUP($AH60,'Пр.взв'!$D$6:$J$71,6,0)))</f>
        <v>УФО</v>
      </c>
      <c r="AL60" s="307" t="str">
        <f>IF($AH60=0,"",(VLOOKUP($AH60,'Пр.взв'!$D$6:$M$71,8,0)))</f>
        <v>Свердловская</v>
      </c>
      <c r="AM60" s="309"/>
      <c r="AN60" s="309"/>
      <c r="AO60" s="309"/>
      <c r="AP60" s="310"/>
    </row>
    <row r="61" ht="27.75" customHeight="1">
      <c r="A61" s="361">
        <v>57.0</v>
      </c>
      <c r="B61" s="351">
        <f t="shared" si="1"/>
        <v>55</v>
      </c>
      <c r="C61" s="352">
        <f>IFERROR(__xludf.DUMMYFUNCTION("""COMPUTED_VALUE"""),55.0)</f>
        <v>55</v>
      </c>
      <c r="D61" s="302" t="str">
        <f>IF(C61=0,"",(VLOOKUP($C61,'Пр.взв'!$D$6:$J$76,2,0)))</f>
        <v>САМОЙЛОВ Иван</v>
      </c>
      <c r="E61" s="302" t="str">
        <f>IF(C61=0,"",(VLOOKUP($C61,'Пр.взв'!$D$6:$J$76,5,0)))</f>
        <v>1р</v>
      </c>
      <c r="F61" s="302" t="str">
        <f>IF(C61=0,"",(VLOOKUP($C61,'Пр.взв'!$D$6:$M$76,6,0)))</f>
        <v>ЦФО</v>
      </c>
      <c r="G61" s="302" t="str">
        <f>IF(C61=0,"",(VLOOKUP($C61,'Пр.взв'!$D$6:$M$76,8,0)))</f>
        <v>Рязанская</v>
      </c>
      <c r="H61" s="304" t="str">
        <f>IF(C61=0,"", IF(C62=0,"СВОБОДЕН",""))</f>
        <v/>
      </c>
      <c r="I61" s="304"/>
      <c r="J61" s="304"/>
      <c r="K61" s="305"/>
      <c r="L61" s="361"/>
      <c r="M61" s="361"/>
      <c r="N61" s="352"/>
      <c r="O61" s="302"/>
      <c r="P61" s="302"/>
      <c r="Q61" s="302"/>
      <c r="R61" s="302"/>
      <c r="S61" s="304"/>
      <c r="T61" s="304"/>
      <c r="U61" s="304"/>
      <c r="V61" s="305"/>
      <c r="W61" s="355"/>
      <c r="X61" s="352"/>
      <c r="Y61" s="302"/>
      <c r="Z61" s="302"/>
      <c r="AA61" s="302"/>
      <c r="AB61" s="302"/>
      <c r="AC61" s="304"/>
      <c r="AD61" s="304"/>
      <c r="AE61" s="304"/>
      <c r="AF61" s="305"/>
      <c r="AG61" s="355"/>
      <c r="AH61" s="352">
        <f>IFERROR(__xludf.DUMMYFUNCTION("""COMPUTED_VALUE"""),55.0)</f>
        <v>55</v>
      </c>
      <c r="AI61" s="302" t="str">
        <f>IF($AH61=0,"",(VLOOKUP($AH61,'Пр.взв'!$D$6:$J$71,2,0)))</f>
        <v>САМОЙЛОВ Иван</v>
      </c>
      <c r="AJ61" s="302" t="str">
        <f>IF($AH61=0,"",(VLOOKUP($AH61,'Пр.взв'!$D$6:$J$71,5,0)))</f>
        <v>1р</v>
      </c>
      <c r="AK61" s="302" t="str">
        <f>IF($AH61=0,"",(VLOOKUP($AH61,'Пр.взв'!$D$6:$J$71,6,0)))</f>
        <v>ЦФО</v>
      </c>
      <c r="AL61" s="302" t="str">
        <f>IF($AH61=0,"",(VLOOKUP($AH61,'Пр.взв'!$D$6:$M$71,8,0)))</f>
        <v>Рязанская</v>
      </c>
      <c r="AM61" s="304" t="str">
        <f>IF(AH61=0,"", IF(AH62=0,"СВОБОДЕН",""))</f>
        <v/>
      </c>
      <c r="AN61" s="304"/>
      <c r="AO61" s="304"/>
      <c r="AP61" s="305"/>
    </row>
    <row r="62" ht="27.75" customHeight="1">
      <c r="A62" s="361">
        <v>58.0</v>
      </c>
      <c r="B62" s="351">
        <f t="shared" si="1"/>
        <v>58</v>
      </c>
      <c r="C62" s="356">
        <f>IFERROR(__xludf.DUMMYFUNCTION("""COMPUTED_VALUE"""),58.0)</f>
        <v>58</v>
      </c>
      <c r="D62" s="307" t="str">
        <f>IF(C62=0,"",(VLOOKUP($C62,'Пр.взв'!$D$6:$J$76,2,0)))</f>
        <v>ШАРИПОВ Магомед-Шамиль </v>
      </c>
      <c r="E62" s="307" t="str">
        <f>IF(C62=0,"",(VLOOKUP($C62,'Пр.взв'!$D$6:$J$76,5,0)))</f>
        <v>КМС</v>
      </c>
      <c r="F62" s="307" t="str">
        <f>IF(C62=0,"",(VLOOKUP($C62,'Пр.взв'!$D$6:$M$76,6,0)))</f>
        <v>СКФО</v>
      </c>
      <c r="G62" s="307" t="str">
        <f>IF(C62=0,"",(VLOOKUP($C62,'Пр.взв'!$D$6:$M$76,8,0)))</f>
        <v>Р.Дагестан</v>
      </c>
      <c r="H62" s="309"/>
      <c r="I62" s="309"/>
      <c r="J62" s="309"/>
      <c r="K62" s="310"/>
      <c r="L62" s="361"/>
      <c r="M62" s="361"/>
      <c r="N62" s="356"/>
      <c r="O62" s="307"/>
      <c r="P62" s="307"/>
      <c r="Q62" s="307"/>
      <c r="R62" s="307"/>
      <c r="S62" s="309"/>
      <c r="T62" s="309"/>
      <c r="U62" s="309"/>
      <c r="V62" s="310"/>
      <c r="W62" s="355"/>
      <c r="X62" s="356"/>
      <c r="Y62" s="307"/>
      <c r="Z62" s="307"/>
      <c r="AA62" s="307"/>
      <c r="AB62" s="307"/>
      <c r="AC62" s="309"/>
      <c r="AD62" s="309"/>
      <c r="AE62" s="309"/>
      <c r="AF62" s="310"/>
      <c r="AG62" s="355"/>
      <c r="AH62" s="356">
        <f>IFERROR(__xludf.DUMMYFUNCTION("""COMPUTED_VALUE"""),58.0)</f>
        <v>58</v>
      </c>
      <c r="AI62" s="307" t="str">
        <f>IF($AH62=0,"",(VLOOKUP($AH62,'Пр.взв'!$D$6:$J$71,2,0)))</f>
        <v>ШАРИПОВ Магомед-Шамиль </v>
      </c>
      <c r="AJ62" s="307" t="str">
        <f>IF($AH62=0,"",(VLOOKUP($AH62,'Пр.взв'!$D$6:$J$71,5,0)))</f>
        <v>КМС</v>
      </c>
      <c r="AK62" s="307" t="str">
        <f>IF($AH62=0,"",(VLOOKUP($AH62,'Пр.взв'!$D$6:$J$71,6,0)))</f>
        <v>СКФО</v>
      </c>
      <c r="AL62" s="307" t="str">
        <f>IF($AH62=0,"",(VLOOKUP($AH62,'Пр.взв'!$D$6:$M$71,8,0)))</f>
        <v>Р.Дагестан</v>
      </c>
      <c r="AM62" s="309"/>
      <c r="AN62" s="309"/>
      <c r="AO62" s="309"/>
      <c r="AP62" s="310"/>
    </row>
    <row r="63" ht="27.75" customHeight="1">
      <c r="A63" s="361">
        <v>59.0</v>
      </c>
      <c r="B63" s="351">
        <f t="shared" si="1"/>
        <v>57</v>
      </c>
      <c r="C63" s="352">
        <f>IFERROR(__xludf.DUMMYFUNCTION("""COMPUTED_VALUE"""),57.0)</f>
        <v>57</v>
      </c>
      <c r="D63" s="302" t="str">
        <f>IF(C63=0,"",(VLOOKUP($C63,'Пр.взв'!$D$6:$J$76,2,0)))</f>
        <v>ШВЕЦ Павел </v>
      </c>
      <c r="E63" s="302" t="str">
        <f>IF(C63=0,"",(VLOOKUP($C63,'Пр.взв'!$D$6:$J$76,5,0)))</f>
        <v>1р</v>
      </c>
      <c r="F63" s="302" t="str">
        <f>IF(C63=0,"",(VLOOKUP($C63,'Пр.взв'!$D$6:$M$76,6,0)))</f>
        <v>ЦФО</v>
      </c>
      <c r="G63" s="302" t="str">
        <f>IF(C63=0,"",(VLOOKUP($C63,'Пр.взв'!$D$6:$M$76,8,0)))</f>
        <v>Брянская</v>
      </c>
      <c r="H63" s="304" t="str">
        <f>IF(C63=0,"", IF(C64=0,"СВОБОДЕН",""))</f>
        <v>СВОБОДЕН</v>
      </c>
      <c r="I63" s="304"/>
      <c r="J63" s="304"/>
      <c r="K63" s="305"/>
      <c r="L63" s="361"/>
      <c r="M63" s="361"/>
      <c r="N63" s="352"/>
      <c r="O63" s="302"/>
      <c r="P63" s="302"/>
      <c r="Q63" s="302"/>
      <c r="R63" s="302"/>
      <c r="S63" s="304"/>
      <c r="T63" s="304"/>
      <c r="U63" s="304"/>
      <c r="V63" s="305"/>
      <c r="W63" s="355"/>
      <c r="X63" s="352"/>
      <c r="Y63" s="302"/>
      <c r="Z63" s="302"/>
      <c r="AA63" s="302"/>
      <c r="AB63" s="302"/>
      <c r="AC63" s="304"/>
      <c r="AD63" s="304"/>
      <c r="AE63" s="304"/>
      <c r="AF63" s="305"/>
      <c r="AG63" s="355"/>
      <c r="AH63" s="352">
        <f>IFERROR(__xludf.DUMMYFUNCTION("""COMPUTED_VALUE"""),57.0)</f>
        <v>57</v>
      </c>
      <c r="AI63" s="302" t="str">
        <f>IF($AH63=0,"",(VLOOKUP($AH63,'Пр.взв'!$D$6:$J$71,2,0)))</f>
        <v>ШВЕЦ Павел </v>
      </c>
      <c r="AJ63" s="302" t="str">
        <f>IF($AH63=0,"",(VLOOKUP($AH63,'Пр.взв'!$D$6:$J$71,5,0)))</f>
        <v>1р</v>
      </c>
      <c r="AK63" s="302" t="str">
        <f>IF($AH63=0,"",(VLOOKUP($AH63,'Пр.взв'!$D$6:$J$71,6,0)))</f>
        <v>ЦФО</v>
      </c>
      <c r="AL63" s="302" t="str">
        <f>IF($AH63=0,"",(VLOOKUP($AH63,'Пр.взв'!$D$6:$M$71,8,0)))</f>
        <v>Брянская</v>
      </c>
      <c r="AM63" s="304" t="str">
        <f>IF(AH63=0,"", IF(AH64=0,"СВОБОДЕН",""))</f>
        <v>СВОБОДЕН</v>
      </c>
      <c r="AN63" s="304"/>
      <c r="AO63" s="304"/>
      <c r="AP63" s="305"/>
    </row>
    <row r="64" ht="27.75" customHeight="1">
      <c r="A64" s="361">
        <v>60.0</v>
      </c>
      <c r="B64" s="348">
        <f t="shared" si="1"/>
        <v>30.5</v>
      </c>
      <c r="C64" s="356">
        <f>IFERROR(__xludf.DUMMYFUNCTION("""COMPUTED_VALUE"""),0.0)</f>
        <v>0</v>
      </c>
      <c r="D64" s="307" t="str">
        <f>IF(C64=0,"",(VLOOKUP($C64,'Пр.взв'!$D$6:$J$76,2,0)))</f>
        <v/>
      </c>
      <c r="E64" s="307" t="str">
        <f>IF(C64=0,"",(VLOOKUP($C64,'Пр.взв'!$D$6:$J$76,5,0)))</f>
        <v/>
      </c>
      <c r="F64" s="307" t="str">
        <f>IF(C64=0,"",(VLOOKUP($C64,'Пр.взв'!$D$6:$M$76,6,0)))</f>
        <v/>
      </c>
      <c r="G64" s="307" t="str">
        <f>IF(C64=0,"",(VLOOKUP($C64,'Пр.взв'!$D$6:$M$76,8,0)))</f>
        <v/>
      </c>
      <c r="H64" s="309"/>
      <c r="I64" s="309"/>
      <c r="J64" s="309"/>
      <c r="K64" s="310"/>
      <c r="L64" s="361"/>
      <c r="M64" s="361"/>
      <c r="N64" s="356"/>
      <c r="O64" s="307"/>
      <c r="P64" s="307"/>
      <c r="Q64" s="307"/>
      <c r="R64" s="307"/>
      <c r="S64" s="309"/>
      <c r="T64" s="309"/>
      <c r="U64" s="309"/>
      <c r="V64" s="310"/>
      <c r="W64" s="355"/>
      <c r="X64" s="356"/>
      <c r="Y64" s="307"/>
      <c r="Z64" s="307"/>
      <c r="AA64" s="307"/>
      <c r="AB64" s="307"/>
      <c r="AC64" s="309"/>
      <c r="AD64" s="309"/>
      <c r="AE64" s="309"/>
      <c r="AF64" s="310"/>
      <c r="AG64" s="355"/>
      <c r="AH64" s="356">
        <f>IFERROR(__xludf.DUMMYFUNCTION("""COMPUTED_VALUE"""),0.0)</f>
        <v>0</v>
      </c>
      <c r="AI64" s="307" t="str">
        <f>IF($AH64=0,"",(VLOOKUP($AH64,'Пр.взв'!$D$6:$J$71,2,0)))</f>
        <v/>
      </c>
      <c r="AJ64" s="307" t="str">
        <f>IF($AH64=0,"",(VLOOKUP($AH64,'Пр.взв'!$D$6:$J$71,5,0)))</f>
        <v/>
      </c>
      <c r="AK64" s="307" t="str">
        <f>IF($AH64=0,"",(VLOOKUP($AH64,'Пр.взв'!$D$6:$J$71,6,0)))</f>
        <v/>
      </c>
      <c r="AL64" s="307" t="str">
        <f>IF($AH64=0,"",(VLOOKUP($AH64,'Пр.взв'!$D$6:$M$71,8,0)))</f>
        <v/>
      </c>
      <c r="AM64" s="309"/>
      <c r="AN64" s="309"/>
      <c r="AO64" s="309"/>
      <c r="AP64" s="310"/>
    </row>
    <row r="65" ht="27.75" customHeight="1">
      <c r="A65" s="361">
        <v>61.0</v>
      </c>
      <c r="B65" s="348">
        <f t="shared" si="1"/>
        <v>30.5</v>
      </c>
      <c r="C65" s="352"/>
      <c r="D65" s="302" t="str">
        <f>IF(C65=0,"",(VLOOKUP($C65,'Пр.взв'!$D$6:$J$76,2,0)))</f>
        <v/>
      </c>
      <c r="E65" s="302" t="str">
        <f>IF(C65=0,"",(VLOOKUP($C65,'Пр.взв'!$D$6:$J$76,5,0)))</f>
        <v/>
      </c>
      <c r="F65" s="302" t="str">
        <f>IF(C65=0,"",(VLOOKUP($C65,'Пр.взв'!$D$6:$M$76,6,0)))</f>
        <v/>
      </c>
      <c r="G65" s="302" t="str">
        <f>IF(C65=0,"",(VLOOKUP($C65,'Пр.взв'!$D$6:$M$76,8,0)))</f>
        <v/>
      </c>
      <c r="H65" s="304" t="str">
        <f>IF(C65=0,"", IF(C66=0,"СВОБОДЕН",""))</f>
        <v/>
      </c>
      <c r="I65" s="304"/>
      <c r="J65" s="304"/>
      <c r="K65" s="305"/>
      <c r="L65" s="361"/>
      <c r="M65" s="361"/>
      <c r="N65" s="352"/>
      <c r="O65" s="302"/>
      <c r="P65" s="302"/>
      <c r="Q65" s="302"/>
      <c r="R65" s="302"/>
      <c r="S65" s="304"/>
      <c r="T65" s="304"/>
      <c r="U65" s="304"/>
      <c r="V65" s="305"/>
      <c r="W65" s="355"/>
      <c r="X65" s="352"/>
      <c r="Y65" s="302"/>
      <c r="Z65" s="302"/>
      <c r="AA65" s="302"/>
      <c r="AB65" s="302"/>
      <c r="AC65" s="304"/>
      <c r="AD65" s="304"/>
      <c r="AE65" s="304"/>
      <c r="AF65" s="305"/>
      <c r="AG65" s="355"/>
      <c r="AH65" s="352"/>
      <c r="AI65" s="302" t="str">
        <f>IF($AH65=0,"",(VLOOKUP($AH65,'Пр.взв'!$D$6:$J$71,2,0)))</f>
        <v/>
      </c>
      <c r="AJ65" s="302" t="str">
        <f>IF($AH65=0,"",(VLOOKUP($AH65,'Пр.взв'!$D$6:$J$71,5,0)))</f>
        <v/>
      </c>
      <c r="AK65" s="302" t="str">
        <f>IF($AH65=0,"",(VLOOKUP($AH65,'Пр.взв'!$D$6:$J$71,6,0)))</f>
        <v/>
      </c>
      <c r="AL65" s="302" t="str">
        <f>IF($AH65=0,"",(VLOOKUP($AH65,'Пр.взв'!$D$6:$M$71,8,0)))</f>
        <v/>
      </c>
      <c r="AM65" s="304" t="str">
        <f>IF(AH65=0,"", IF(AH66=0,"СВОБОДЕН",""))</f>
        <v/>
      </c>
      <c r="AN65" s="304"/>
      <c r="AO65" s="304"/>
      <c r="AP65" s="305"/>
    </row>
    <row r="66" ht="27.75" customHeight="1">
      <c r="A66" s="361">
        <v>62.0</v>
      </c>
      <c r="B66" s="348">
        <f t="shared" si="1"/>
        <v>30.5</v>
      </c>
      <c r="C66" s="356"/>
      <c r="D66" s="307" t="str">
        <f>IF(C66=0,"",(VLOOKUP($C66,'Пр.взв'!$D$6:$J$76,2,0)))</f>
        <v/>
      </c>
      <c r="E66" s="307" t="str">
        <f>IF(C66=0,"",(VLOOKUP($C66,'Пр.взв'!$D$6:$J$76,5,0)))</f>
        <v/>
      </c>
      <c r="F66" s="307" t="str">
        <f>IF(C66=0,"",(VLOOKUP($C66,'Пр.взв'!$D$6:$M$76,6,0)))</f>
        <v/>
      </c>
      <c r="G66" s="307" t="str">
        <f>IF(C66=0,"",(VLOOKUP($C66,'Пр.взв'!$D$6:$M$76,8,0)))</f>
        <v/>
      </c>
      <c r="H66" s="309"/>
      <c r="I66" s="309"/>
      <c r="J66" s="309"/>
      <c r="K66" s="310"/>
      <c r="L66" s="361"/>
      <c r="M66" s="361"/>
      <c r="N66" s="356"/>
      <c r="O66" s="307"/>
      <c r="P66" s="307"/>
      <c r="Q66" s="307"/>
      <c r="R66" s="307"/>
      <c r="S66" s="309"/>
      <c r="T66" s="309"/>
      <c r="U66" s="309"/>
      <c r="V66" s="310"/>
      <c r="W66" s="355"/>
      <c r="X66" s="356"/>
      <c r="Y66" s="307"/>
      <c r="Z66" s="307"/>
      <c r="AA66" s="307"/>
      <c r="AB66" s="307"/>
      <c r="AC66" s="309"/>
      <c r="AD66" s="309"/>
      <c r="AE66" s="309"/>
      <c r="AF66" s="310"/>
      <c r="AG66" s="355"/>
      <c r="AH66" s="356"/>
      <c r="AI66" s="307" t="str">
        <f>IF($AH66=0,"",(VLOOKUP($AH66,'Пр.взв'!$D$6:$J$71,2,0)))</f>
        <v/>
      </c>
      <c r="AJ66" s="307" t="str">
        <f>IF($AH66=0,"",(VLOOKUP($AH66,'Пр.взв'!$D$6:$J$71,5,0)))</f>
        <v/>
      </c>
      <c r="AK66" s="307" t="str">
        <f>IF($AH66=0,"",(VLOOKUP($AH66,'Пр.взв'!$D$6:$J$71,6,0)))</f>
        <v/>
      </c>
      <c r="AL66" s="307" t="str">
        <f>IF($AH66=0,"",(VLOOKUP($AH66,'Пр.взв'!$D$6:$M$71,8,0)))</f>
        <v/>
      </c>
      <c r="AM66" s="309"/>
      <c r="AN66" s="309"/>
      <c r="AO66" s="309"/>
      <c r="AP66" s="310"/>
    </row>
    <row r="67" ht="27.75" customHeight="1">
      <c r="A67" s="361">
        <v>63.0</v>
      </c>
      <c r="B67" s="348">
        <f t="shared" si="1"/>
        <v>30.5</v>
      </c>
      <c r="C67" s="352"/>
      <c r="D67" s="302" t="str">
        <f>IF(C67=0,"",(VLOOKUP($C67,'Пр.взв'!$D$6:$J$76,2,0)))</f>
        <v/>
      </c>
      <c r="E67" s="302" t="str">
        <f>IF(C67=0,"",(VLOOKUP($C67,'Пр.взв'!$D$6:$J$76,5,0)))</f>
        <v/>
      </c>
      <c r="F67" s="302" t="str">
        <f>IF(C67=0,"",(VLOOKUP($C67,'Пр.взв'!$D$6:$M$76,6,0)))</f>
        <v/>
      </c>
      <c r="G67" s="302" t="str">
        <f>IF(C67=0,"",(VLOOKUP($C67,'Пр.взв'!$D$6:$M$76,8,0)))</f>
        <v/>
      </c>
      <c r="H67" s="304" t="str">
        <f>IF(C67=0,"", IF(C68=0,"СВОБОДЕН",""))</f>
        <v/>
      </c>
      <c r="I67" s="304"/>
      <c r="J67" s="304"/>
      <c r="K67" s="305"/>
      <c r="L67" s="361"/>
      <c r="M67" s="361"/>
      <c r="N67" s="352"/>
      <c r="O67" s="302"/>
      <c r="P67" s="302"/>
      <c r="Q67" s="302"/>
      <c r="R67" s="302"/>
      <c r="S67" s="304"/>
      <c r="T67" s="304"/>
      <c r="U67" s="304"/>
      <c r="V67" s="305"/>
      <c r="W67" s="355"/>
      <c r="X67" s="352"/>
      <c r="Y67" s="302"/>
      <c r="Z67" s="302"/>
      <c r="AA67" s="302"/>
      <c r="AB67" s="302"/>
      <c r="AC67" s="304"/>
      <c r="AD67" s="304"/>
      <c r="AE67" s="304"/>
      <c r="AF67" s="305"/>
      <c r="AG67" s="355"/>
      <c r="AH67" s="352"/>
      <c r="AI67" s="302" t="str">
        <f>IF($AH67=0,"",(VLOOKUP($AH67,'Пр.взв'!$D$6:$J$71,2,0)))</f>
        <v/>
      </c>
      <c r="AJ67" s="302" t="str">
        <f>IF($AH67=0,"",(VLOOKUP($AH67,'Пр.взв'!$D$6:$J$71,5,0)))</f>
        <v/>
      </c>
      <c r="AK67" s="302" t="str">
        <f>IF($AH67=0,"",(VLOOKUP($AH67,'Пр.взв'!$D$6:$J$71,6,0)))</f>
        <v/>
      </c>
      <c r="AL67" s="302" t="str">
        <f>IF($AH67=0,"",(VLOOKUP($AH67,'Пр.взв'!$D$6:$M$71,8,0)))</f>
        <v/>
      </c>
      <c r="AM67" s="304" t="str">
        <f>IF(AH67=0,"", IF(AH68=0,"СВОБОДЕН",""))</f>
        <v/>
      </c>
      <c r="AN67" s="304"/>
      <c r="AO67" s="304"/>
      <c r="AP67" s="305"/>
    </row>
    <row r="68" ht="27.75" customHeight="1">
      <c r="A68" s="361">
        <v>64.0</v>
      </c>
      <c r="B68" s="348">
        <f t="shared" si="1"/>
        <v>30.5</v>
      </c>
      <c r="C68" s="363"/>
      <c r="D68" s="307" t="str">
        <f>IF(C68=0,"",(VLOOKUP($C68,'Пр.взв'!$D$6:$J$76,2,0)))</f>
        <v/>
      </c>
      <c r="E68" s="307" t="str">
        <f>IF(C68=0,"",(VLOOKUP($C68,'Пр.взв'!$D$6:$J$76,5,0)))</f>
        <v/>
      </c>
      <c r="F68" s="307" t="str">
        <f>IF(C68=0,"",(VLOOKUP($C68,'Пр.взв'!$D$6:$M$76,6,0)))</f>
        <v/>
      </c>
      <c r="G68" s="307" t="str">
        <f>IF(C68=0,"",(VLOOKUP($C68,'Пр.взв'!$D$6:$M$76,8,0)))</f>
        <v/>
      </c>
      <c r="H68" s="309"/>
      <c r="I68" s="309"/>
      <c r="J68" s="309"/>
      <c r="K68" s="310"/>
      <c r="L68" s="361"/>
      <c r="M68" s="361"/>
      <c r="N68" s="363"/>
      <c r="O68" s="307"/>
      <c r="P68" s="307"/>
      <c r="Q68" s="307"/>
      <c r="R68" s="307"/>
      <c r="S68" s="309"/>
      <c r="T68" s="309"/>
      <c r="U68" s="309"/>
      <c r="V68" s="310"/>
      <c r="W68" s="355"/>
      <c r="X68" s="363"/>
      <c r="Y68" s="307"/>
      <c r="Z68" s="307"/>
      <c r="AA68" s="307"/>
      <c r="AB68" s="307"/>
      <c r="AC68" s="309"/>
      <c r="AD68" s="309"/>
      <c r="AE68" s="309"/>
      <c r="AF68" s="310"/>
      <c r="AG68" s="355"/>
      <c r="AH68" s="363"/>
      <c r="AI68" s="307" t="str">
        <f>IF($AH68=0,"",(VLOOKUP($AH68,'Пр.взв'!$D$6:$J$71,2,0)))</f>
        <v/>
      </c>
      <c r="AJ68" s="307" t="str">
        <f>IF($AH68=0,"",(VLOOKUP($AH68,'Пр.взв'!$D$6:$J$71,5,0)))</f>
        <v/>
      </c>
      <c r="AK68" s="307" t="str">
        <f>IF($AH68=0,"",(VLOOKUP($AH68,'Пр.взв'!$D$6:$J$71,6,0)))</f>
        <v/>
      </c>
      <c r="AL68" s="307" t="str">
        <f>IF($AH68=0,"",(VLOOKUP($AH68,'Пр.взв'!$D$6:$M$71,8,0)))</f>
        <v/>
      </c>
      <c r="AM68" s="309"/>
      <c r="AN68" s="309"/>
      <c r="AO68" s="309"/>
      <c r="AP68" s="310"/>
    </row>
    <row r="69" ht="27.75" customHeight="1">
      <c r="B69" s="348">
        <f t="shared" si="1"/>
        <v>30.5</v>
      </c>
      <c r="C69" s="352"/>
      <c r="D69" s="302" t="str">
        <f>IF(C69=0,"",(VLOOKUP($C69,'Пр.взв'!$D$6:$J$76,2,0)))</f>
        <v/>
      </c>
      <c r="E69" s="302" t="str">
        <f>IF(C69=0,"",(VLOOKUP($C69,'Пр.взв'!$D$6:$J$76,5,0)))</f>
        <v/>
      </c>
      <c r="F69" s="302" t="str">
        <f>IF(C69=0,"",(VLOOKUP($C69,'Пр.взв'!$D$6:$M$76,6,0)))</f>
        <v/>
      </c>
      <c r="G69" s="302" t="str">
        <f>IF(C69=0,"",(VLOOKUP($C69,'Пр.взв'!$D$6:$M$76,8,0)))</f>
        <v/>
      </c>
      <c r="H69" s="304" t="str">
        <f>IF(C69=0,"", IF(C70=0,"СВОБОДЕН",""))</f>
        <v/>
      </c>
      <c r="I69" s="304"/>
      <c r="J69" s="304"/>
      <c r="K69" s="305"/>
      <c r="AH69" s="245"/>
    </row>
    <row r="70" ht="27.75" customHeight="1">
      <c r="B70" s="348">
        <f t="shared" si="1"/>
        <v>30.5</v>
      </c>
      <c r="C70" s="363"/>
      <c r="D70" s="307" t="str">
        <f>IF(C70=0,"",(VLOOKUP($C70,'Пр.взв'!$D$6:$J$76,2,0)))</f>
        <v/>
      </c>
      <c r="E70" s="307" t="str">
        <f>IF(C70=0,"",(VLOOKUP($C70,'Пр.взв'!$D$6:$J$76,5,0)))</f>
        <v/>
      </c>
      <c r="F70" s="307" t="str">
        <f>IF(C70=0,"",(VLOOKUP($C70,'Пр.взв'!$D$6:$M$76,6,0)))</f>
        <v/>
      </c>
      <c r="G70" s="307" t="str">
        <f>IF(C70=0,"",(VLOOKUP($C70,'Пр.взв'!$D$6:$M$76,8,0)))</f>
        <v/>
      </c>
      <c r="H70" s="309"/>
      <c r="I70" s="309"/>
      <c r="J70" s="309"/>
      <c r="K70" s="310"/>
      <c r="AH70" s="245"/>
    </row>
    <row r="71" ht="27.75" customHeight="1">
      <c r="B71" s="348">
        <f t="shared" si="1"/>
        <v>30.5</v>
      </c>
      <c r="C71" s="352"/>
      <c r="D71" s="302" t="str">
        <f>IF(C71=0,"",(VLOOKUP($C71,'Пр.взв'!$D$6:$J$76,2,0)))</f>
        <v/>
      </c>
      <c r="E71" s="302" t="str">
        <f>IF(C71=0,"",(VLOOKUP($C71,'Пр.взв'!$D$6:$J$76,5,0)))</f>
        <v/>
      </c>
      <c r="F71" s="302" t="str">
        <f>IF(C71=0,"",(VLOOKUP($C71,'Пр.взв'!$D$6:$M$76,6,0)))</f>
        <v/>
      </c>
      <c r="G71" s="302" t="str">
        <f>IF(C71=0,"",(VLOOKUP($C71,'Пр.взв'!$D$6:$M$76,8,0)))</f>
        <v/>
      </c>
      <c r="H71" s="304" t="str">
        <f>IF(C71=0,"", IF(C72=0,"СВОБОДЕН",""))</f>
        <v/>
      </c>
      <c r="I71" s="304"/>
      <c r="J71" s="304"/>
      <c r="K71" s="305"/>
      <c r="AH71" s="245"/>
    </row>
    <row r="72" ht="27.75" customHeight="1">
      <c r="B72" s="348">
        <f t="shared" si="1"/>
        <v>30.5</v>
      </c>
      <c r="C72" s="363"/>
      <c r="D72" s="307" t="str">
        <f>IF(C72=0,"",(VLOOKUP($C72,'Пр.взв'!$D$6:$J$76,2,0)))</f>
        <v/>
      </c>
      <c r="E72" s="307" t="str">
        <f>IF(C72=0,"",(VLOOKUP($C72,'Пр.взв'!$D$6:$J$76,5,0)))</f>
        <v/>
      </c>
      <c r="F72" s="307" t="str">
        <f>IF(C72=0,"",(VLOOKUP($C72,'Пр.взв'!$D$6:$M$76,6,0)))</f>
        <v/>
      </c>
      <c r="G72" s="307" t="str">
        <f>IF(C72=0,"",(VLOOKUP($C72,'Пр.взв'!$D$6:$M$76,8,0)))</f>
        <v/>
      </c>
      <c r="H72" s="309"/>
      <c r="I72" s="309"/>
      <c r="J72" s="309"/>
      <c r="K72" s="310"/>
      <c r="AH72" s="245"/>
    </row>
    <row r="73" ht="27.75" customHeight="1">
      <c r="B73" s="348">
        <f t="shared" si="1"/>
        <v>30.5</v>
      </c>
      <c r="C73" s="352"/>
      <c r="D73" s="302" t="str">
        <f>IF(C73=0,"",(VLOOKUP($C73,'Пр.взв'!$D$6:$J$76,2,0)))</f>
        <v/>
      </c>
      <c r="E73" s="302" t="str">
        <f>IF(C73=0,"",(VLOOKUP($C73,'Пр.взв'!$D$6:$J$76,5,0)))</f>
        <v/>
      </c>
      <c r="F73" s="302" t="str">
        <f>IF(C73=0,"",(VLOOKUP($C73,'Пр.взв'!$D$6:$M$76,6,0)))</f>
        <v/>
      </c>
      <c r="G73" s="302" t="str">
        <f>IF(C73=0,"",(VLOOKUP($C73,'Пр.взв'!$D$6:$M$76,8,0)))</f>
        <v/>
      </c>
      <c r="H73" s="304" t="str">
        <f>IF(C73=0,"", IF(C74=0,"СВОБОДЕН",""))</f>
        <v/>
      </c>
      <c r="I73" s="304"/>
      <c r="J73" s="304"/>
      <c r="K73" s="305"/>
      <c r="AH73" s="245"/>
    </row>
    <row r="74" ht="27.75" customHeight="1">
      <c r="B74" s="348">
        <f t="shared" si="1"/>
        <v>30.5</v>
      </c>
      <c r="C74" s="363"/>
      <c r="D74" s="307" t="str">
        <f>IF(C74=0,"",(VLOOKUP($C74,'Пр.взв'!$D$6:$J$76,2,0)))</f>
        <v/>
      </c>
      <c r="E74" s="307" t="str">
        <f>IF(C74=0,"",(VLOOKUP($C74,'Пр.взв'!$D$6:$J$76,5,0)))</f>
        <v/>
      </c>
      <c r="F74" s="307" t="str">
        <f>IF(C74=0,"",(VLOOKUP($C74,'Пр.взв'!$D$6:$M$76,6,0)))</f>
        <v/>
      </c>
      <c r="G74" s="307" t="str">
        <f>IF(C74=0,"",(VLOOKUP($C74,'Пр.взв'!$D$6:$M$76,8,0)))</f>
        <v/>
      </c>
      <c r="H74" s="309"/>
      <c r="I74" s="309"/>
      <c r="J74" s="309"/>
      <c r="K74" s="310"/>
      <c r="AH74" s="245"/>
    </row>
    <row r="75" ht="27.75" customHeight="1">
      <c r="B75" s="348">
        <f t="shared" si="1"/>
        <v>30.5</v>
      </c>
      <c r="C75" s="352"/>
      <c r="D75" s="302" t="str">
        <f>IF(C75=0,"",(VLOOKUP($C75,'Пр.взв'!$D$6:$J$76,2,0)))</f>
        <v/>
      </c>
      <c r="E75" s="302" t="str">
        <f>IF(C75=0,"",(VLOOKUP($C75,'Пр.взв'!$D$6:$J$76,5,0)))</f>
        <v/>
      </c>
      <c r="F75" s="302" t="str">
        <f>IF(C75=0,"",(VLOOKUP($C75,'Пр.взв'!$D$6:$M$76,6,0)))</f>
        <v/>
      </c>
      <c r="G75" s="302" t="str">
        <f>IF(C75=0,"",(VLOOKUP($C75,'Пр.взв'!$D$6:$M$76,8,0)))</f>
        <v/>
      </c>
      <c r="H75" s="304" t="str">
        <f>IF(C75=0,"", IF(C76=0,"СВОБОДЕН",""))</f>
        <v/>
      </c>
      <c r="I75" s="304"/>
      <c r="J75" s="304"/>
      <c r="K75" s="305"/>
      <c r="AH75" s="245"/>
    </row>
    <row r="76" ht="33.0" customHeight="1">
      <c r="C76" s="363"/>
      <c r="D76" s="307" t="str">
        <f>IF(C76=0,"",(VLOOKUP($C76,'Пр.взв'!$D$6:$J$76,2,0)))</f>
        <v/>
      </c>
      <c r="E76" s="307" t="str">
        <f>IF(C76=0,"",(VLOOKUP($C76,'Пр.взв'!$D$6:$J$76,5,0)))</f>
        <v/>
      </c>
      <c r="F76" s="307" t="str">
        <f>IF(C76=0,"",(VLOOKUP($C76,'Пр.взв'!$D$6:$M$76,6,0)))</f>
        <v/>
      </c>
      <c r="G76" s="307" t="str">
        <f>IF(C76=0,"",(VLOOKUP($C76,'Пр.взв'!$D$6:$M$76,8,0)))</f>
        <v/>
      </c>
      <c r="H76" s="309"/>
      <c r="I76" s="309"/>
      <c r="J76" s="309"/>
      <c r="K76" s="310"/>
      <c r="AH76" s="245"/>
    </row>
    <row r="77">
      <c r="C77" s="245"/>
      <c r="AH77" s="245"/>
    </row>
    <row r="78">
      <c r="C78" s="245"/>
      <c r="AH78" s="245"/>
    </row>
    <row r="79">
      <c r="C79" s="245"/>
      <c r="AH79" s="245"/>
    </row>
    <row r="80">
      <c r="C80" s="245"/>
      <c r="AH80" s="245"/>
    </row>
    <row r="81">
      <c r="C81" s="245"/>
      <c r="AH81" s="245"/>
    </row>
    <row r="82">
      <c r="C82" s="245"/>
      <c r="AH82" s="245"/>
    </row>
    <row r="83">
      <c r="C83" s="245"/>
      <c r="AH83" s="245"/>
    </row>
    <row r="84">
      <c r="C84" s="245"/>
      <c r="AH84" s="245"/>
    </row>
    <row r="85">
      <c r="C85" s="245"/>
      <c r="AH85" s="245"/>
    </row>
    <row r="86">
      <c r="C86" s="245"/>
      <c r="AH86" s="245"/>
    </row>
    <row r="87">
      <c r="C87" s="245"/>
      <c r="AH87" s="245"/>
    </row>
    <row r="88">
      <c r="C88" s="245"/>
      <c r="AH88" s="245"/>
    </row>
    <row r="89">
      <c r="C89" s="245"/>
      <c r="AH89" s="245"/>
    </row>
    <row r="90">
      <c r="C90" s="245"/>
      <c r="AH90" s="245"/>
    </row>
    <row r="91">
      <c r="C91" s="245"/>
      <c r="AH91" s="245"/>
    </row>
    <row r="92">
      <c r="C92" s="245"/>
      <c r="AH92" s="245"/>
    </row>
    <row r="93">
      <c r="C93" s="245"/>
      <c r="AH93" s="245"/>
    </row>
    <row r="94">
      <c r="C94" s="245"/>
      <c r="AH94" s="245"/>
    </row>
    <row r="95">
      <c r="C95" s="245"/>
      <c r="AH95" s="245"/>
    </row>
    <row r="96">
      <c r="C96" s="245"/>
      <c r="AH96" s="245"/>
    </row>
    <row r="97">
      <c r="C97" s="245"/>
      <c r="AH97" s="245"/>
    </row>
    <row r="98">
      <c r="C98" s="245"/>
      <c r="AH98" s="245"/>
    </row>
    <row r="99">
      <c r="C99" s="245"/>
      <c r="AH99" s="245"/>
    </row>
    <row r="100">
      <c r="C100" s="245"/>
      <c r="AH100" s="245"/>
    </row>
    <row r="101">
      <c r="C101" s="245"/>
      <c r="AH101" s="245"/>
    </row>
    <row r="102">
      <c r="C102" s="245"/>
      <c r="AH102" s="245"/>
    </row>
    <row r="103">
      <c r="C103" s="245"/>
      <c r="AH103" s="245"/>
    </row>
    <row r="104">
      <c r="C104" s="245"/>
      <c r="AH104" s="245"/>
    </row>
    <row r="105">
      <c r="C105" s="245"/>
      <c r="AH105" s="245"/>
    </row>
    <row r="106">
      <c r="C106" s="245"/>
      <c r="AH106" s="245"/>
    </row>
    <row r="107">
      <c r="C107" s="245"/>
      <c r="AH107" s="245"/>
    </row>
    <row r="108">
      <c r="C108" s="245"/>
      <c r="AH108" s="245"/>
    </row>
    <row r="109">
      <c r="C109" s="245"/>
      <c r="AH109" s="245"/>
    </row>
    <row r="110">
      <c r="C110" s="245"/>
      <c r="AH110" s="245"/>
    </row>
    <row r="111">
      <c r="C111" s="245"/>
      <c r="AH111" s="245"/>
    </row>
    <row r="112">
      <c r="C112" s="245"/>
      <c r="AH112" s="245"/>
    </row>
    <row r="113">
      <c r="C113" s="245"/>
      <c r="AH113" s="245"/>
    </row>
    <row r="114">
      <c r="C114" s="245"/>
      <c r="AH114" s="245"/>
    </row>
    <row r="115">
      <c r="C115" s="245"/>
      <c r="AH115" s="245"/>
    </row>
    <row r="116">
      <c r="C116" s="245"/>
      <c r="AH116" s="245"/>
    </row>
    <row r="117">
      <c r="C117" s="245"/>
      <c r="AH117" s="245"/>
    </row>
    <row r="118">
      <c r="C118" s="245"/>
      <c r="AH118" s="245"/>
    </row>
    <row r="119">
      <c r="C119" s="245"/>
      <c r="AH119" s="245"/>
    </row>
    <row r="120">
      <c r="C120" s="245"/>
      <c r="AH120" s="245"/>
    </row>
    <row r="121">
      <c r="C121" s="245"/>
      <c r="AH121" s="245"/>
    </row>
    <row r="122">
      <c r="C122" s="245"/>
      <c r="AH122" s="245"/>
    </row>
    <row r="123">
      <c r="C123" s="245"/>
      <c r="AH123" s="245"/>
    </row>
    <row r="124">
      <c r="C124" s="245"/>
      <c r="AH124" s="245"/>
    </row>
    <row r="125">
      <c r="C125" s="245"/>
      <c r="AH125" s="245"/>
    </row>
    <row r="126">
      <c r="C126" s="245"/>
      <c r="AH126" s="245"/>
    </row>
    <row r="127">
      <c r="C127" s="245"/>
      <c r="AH127" s="245"/>
    </row>
    <row r="128">
      <c r="C128" s="245"/>
      <c r="AH128" s="245"/>
    </row>
    <row r="129">
      <c r="C129" s="245"/>
      <c r="AH129" s="245"/>
    </row>
    <row r="130">
      <c r="C130" s="245"/>
      <c r="AH130" s="245"/>
    </row>
    <row r="131">
      <c r="C131" s="245"/>
      <c r="AH131" s="245"/>
    </row>
    <row r="132">
      <c r="C132" s="245"/>
      <c r="AH132" s="245"/>
    </row>
    <row r="133">
      <c r="C133" s="245"/>
      <c r="AH133" s="245"/>
    </row>
    <row r="134">
      <c r="C134" s="245"/>
      <c r="AH134" s="245"/>
    </row>
    <row r="135">
      <c r="C135" s="245"/>
      <c r="AH135" s="245"/>
    </row>
    <row r="136">
      <c r="C136" s="245"/>
      <c r="AH136" s="245"/>
    </row>
    <row r="137">
      <c r="C137" s="245"/>
      <c r="AH137" s="245"/>
    </row>
    <row r="138">
      <c r="C138" s="245"/>
      <c r="AH138" s="245"/>
    </row>
    <row r="139">
      <c r="C139" s="245"/>
      <c r="AH139" s="245"/>
    </row>
    <row r="140">
      <c r="C140" s="245"/>
      <c r="AH140" s="245"/>
    </row>
    <row r="141">
      <c r="C141" s="245"/>
      <c r="AH141" s="245"/>
    </row>
    <row r="142">
      <c r="C142" s="245"/>
      <c r="AH142" s="245"/>
    </row>
    <row r="143">
      <c r="C143" s="245"/>
      <c r="AH143" s="245"/>
    </row>
    <row r="144">
      <c r="C144" s="245"/>
      <c r="AH144" s="245"/>
    </row>
    <row r="145">
      <c r="C145" s="245"/>
      <c r="AH145" s="245"/>
    </row>
    <row r="146">
      <c r="C146" s="245"/>
      <c r="AH146" s="245"/>
    </row>
    <row r="147">
      <c r="C147" s="245"/>
      <c r="AH147" s="245"/>
    </row>
    <row r="148">
      <c r="C148" s="245"/>
      <c r="AH148" s="245"/>
    </row>
    <row r="149">
      <c r="C149" s="245"/>
      <c r="AH149" s="245"/>
    </row>
    <row r="150">
      <c r="C150" s="245"/>
      <c r="AH150" s="245"/>
    </row>
    <row r="151">
      <c r="C151" s="245"/>
      <c r="AH151" s="245"/>
    </row>
    <row r="152">
      <c r="C152" s="245"/>
      <c r="AH152" s="245"/>
    </row>
    <row r="153">
      <c r="C153" s="245"/>
      <c r="AH153" s="245"/>
    </row>
    <row r="154">
      <c r="C154" s="245"/>
      <c r="AH154" s="245"/>
    </row>
    <row r="155">
      <c r="C155" s="245"/>
      <c r="AH155" s="245"/>
    </row>
    <row r="156">
      <c r="C156" s="245"/>
      <c r="AH156" s="245"/>
    </row>
    <row r="157">
      <c r="C157" s="245"/>
      <c r="AH157" s="245"/>
    </row>
    <row r="158">
      <c r="C158" s="245"/>
      <c r="AH158" s="245"/>
    </row>
  </sheetData>
  <mergeCells count="40">
    <mergeCell ref="G1:K1"/>
    <mergeCell ref="N1:O1"/>
    <mergeCell ref="R1:V1"/>
    <mergeCell ref="X1:Y1"/>
    <mergeCell ref="AB1:AF1"/>
    <mergeCell ref="AH1:AI1"/>
    <mergeCell ref="AL1:AP1"/>
    <mergeCell ref="C1:D1"/>
    <mergeCell ref="C3:C4"/>
    <mergeCell ref="D3:D4"/>
    <mergeCell ref="E3:E4"/>
    <mergeCell ref="F3:G4"/>
    <mergeCell ref="H3:H4"/>
    <mergeCell ref="I3:I4"/>
    <mergeCell ref="J3:J4"/>
    <mergeCell ref="K3:K4"/>
    <mergeCell ref="N3:N4"/>
    <mergeCell ref="O3:O4"/>
    <mergeCell ref="P3:P4"/>
    <mergeCell ref="Q3:R4"/>
    <mergeCell ref="S3:S4"/>
    <mergeCell ref="T3:T4"/>
    <mergeCell ref="U3:U4"/>
    <mergeCell ref="V3:V4"/>
    <mergeCell ref="X3:X4"/>
    <mergeCell ref="Y3:Y4"/>
    <mergeCell ref="Z3:Z4"/>
    <mergeCell ref="AA3:AB4"/>
    <mergeCell ref="AK3:AL4"/>
    <mergeCell ref="AM3:AM4"/>
    <mergeCell ref="AN3:AN4"/>
    <mergeCell ref="AO3:AO4"/>
    <mergeCell ref="AP3:AP4"/>
    <mergeCell ref="AC3:AC4"/>
    <mergeCell ref="AD3:AD4"/>
    <mergeCell ref="AE3:AE4"/>
    <mergeCell ref="AF3:AF4"/>
    <mergeCell ref="AH3:AH4"/>
    <mergeCell ref="AI3:AI4"/>
    <mergeCell ref="AJ3:AJ4"/>
  </mergeCells>
  <printOptions horizontalCentered="1"/>
  <pageMargins bottom="0.75" footer="0.0" header="0.0" left="0.25" right="0.25" top="0.12526843235504656"/>
  <pageSetup paperSize="9" orientation="portrait" pageOrder="overThenDown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9.0"/>
    <col customWidth="1" min="2" max="3" width="8.14"/>
    <col customWidth="1" min="7" max="7" width="4.43"/>
  </cols>
  <sheetData>
    <row r="1" ht="92.25" customHeight="1">
      <c r="A1" s="364" t="str">
        <f>'Пр.взв'!C2</f>
        <v>Первенство России среди юношей и девушек 16-18 лет (отбор на первенство мира и Европы) ЕКП № 1803</v>
      </c>
      <c r="B1" s="204"/>
      <c r="C1" s="204"/>
      <c r="D1" s="204"/>
      <c r="E1" s="204"/>
      <c r="F1" s="204"/>
      <c r="G1" s="204"/>
      <c r="H1" s="205"/>
      <c r="I1" s="49"/>
      <c r="J1" s="49"/>
    </row>
    <row r="2">
      <c r="A2" s="365" t="str">
        <f>'Пр.взв'!C3</f>
        <v>30.01 - 04.02.2022 г.                                                                                        г.Кстово</v>
      </c>
      <c r="B2" s="366"/>
      <c r="C2" s="366"/>
      <c r="D2" s="366"/>
      <c r="E2" s="366"/>
      <c r="F2" s="366"/>
      <c r="G2" s="366"/>
      <c r="H2" s="366"/>
      <c r="I2" s="49"/>
      <c r="J2" s="49"/>
    </row>
    <row r="3">
      <c r="A3" s="367" t="s">
        <v>397</v>
      </c>
      <c r="I3" s="49"/>
      <c r="J3" s="50"/>
    </row>
    <row r="4">
      <c r="A4" s="49"/>
      <c r="B4" s="368"/>
      <c r="C4" s="369"/>
      <c r="D4" s="370" t="str">
        <f>'Пр.взв'!G4</f>
        <v>В.к.  71  кг</v>
      </c>
      <c r="E4" s="204"/>
      <c r="F4" s="205"/>
      <c r="G4" s="369"/>
      <c r="H4" s="369"/>
      <c r="I4" s="49"/>
      <c r="J4" s="49"/>
    </row>
    <row r="5">
      <c r="A5" s="369"/>
      <c r="B5" s="369"/>
      <c r="C5" s="369"/>
      <c r="D5" s="369"/>
      <c r="E5" s="369"/>
      <c r="F5" s="369"/>
      <c r="G5" s="369"/>
      <c r="H5" s="369"/>
      <c r="I5" s="49"/>
      <c r="J5" s="49"/>
    </row>
    <row r="6">
      <c r="A6" s="371" t="s">
        <v>398</v>
      </c>
      <c r="B6" s="372" t="str">
        <f>IFERROR(VLOOKUP(J6,'Пр.взв'!$D$6:$J$63,3,0),"")</f>
        <v/>
      </c>
      <c r="C6" s="366"/>
      <c r="D6" s="366"/>
      <c r="E6" s="366"/>
      <c r="F6" s="366"/>
      <c r="G6" s="325"/>
      <c r="H6" s="373" t="str">
        <f>IFERROR(VLOOKUP(J6,'Пр.взв'!$D$6:$J$63,5,0),"")</f>
        <v/>
      </c>
      <c r="I6" s="369"/>
      <c r="J6" s="374" t="str">
        <f>'Ит.пр'!B6</f>
        <v>#N/A</v>
      </c>
    </row>
    <row r="7">
      <c r="A7" s="375"/>
      <c r="B7" s="183"/>
      <c r="C7" s="174"/>
      <c r="D7" s="174"/>
      <c r="E7" s="174"/>
      <c r="F7" s="174"/>
      <c r="G7" s="171"/>
      <c r="H7" s="113"/>
      <c r="I7" s="369"/>
      <c r="J7" s="62"/>
    </row>
    <row r="8">
      <c r="A8" s="375"/>
      <c r="B8" s="376" t="str">
        <f>IFERROR(VLOOKUP(J6,'Пр.взв'!$D$6:$J$63,6,0),"")</f>
        <v/>
      </c>
      <c r="C8" s="325"/>
      <c r="D8" s="377" t="str">
        <f>IFERROR(VLOOKUP(J6,'Пр.взв'!$D$6:$J$63,7,0),"")</f>
        <v/>
      </c>
      <c r="E8" s="366"/>
      <c r="F8" s="366"/>
      <c r="G8" s="366"/>
      <c r="H8" s="325"/>
      <c r="I8" s="369"/>
      <c r="J8" s="62"/>
    </row>
    <row r="9">
      <c r="A9" s="183"/>
      <c r="B9" s="183"/>
      <c r="C9" s="171"/>
      <c r="D9" s="183"/>
      <c r="E9" s="174"/>
      <c r="F9" s="174"/>
      <c r="G9" s="174"/>
      <c r="H9" s="171"/>
      <c r="I9" s="369"/>
      <c r="J9" s="62"/>
    </row>
    <row r="10">
      <c r="A10" s="369"/>
      <c r="B10" s="369"/>
      <c r="C10" s="369"/>
      <c r="D10" s="369"/>
      <c r="E10" s="369"/>
      <c r="F10" s="369"/>
      <c r="G10" s="369"/>
      <c r="H10" s="369"/>
      <c r="I10" s="369"/>
      <c r="J10" s="62"/>
    </row>
    <row r="11">
      <c r="A11" s="378" t="s">
        <v>399</v>
      </c>
      <c r="B11" s="372" t="str">
        <f>IFERROR(VLOOKUP(J11,'Пр.взв'!$D$6:$J$63,3,0),"")</f>
        <v/>
      </c>
      <c r="C11" s="366"/>
      <c r="D11" s="366"/>
      <c r="E11" s="366"/>
      <c r="F11" s="366"/>
      <c r="G11" s="325"/>
      <c r="H11" s="373" t="str">
        <f>IFERROR(VLOOKUP(J11,'Пр.взв'!$D$6:$J$63,5,0),"")</f>
        <v/>
      </c>
      <c r="I11" s="369"/>
      <c r="J11" s="374" t="str">
        <f>'Ит.пр'!B7</f>
        <v>#N/A</v>
      </c>
    </row>
    <row r="12">
      <c r="A12" s="375"/>
      <c r="B12" s="183"/>
      <c r="C12" s="174"/>
      <c r="D12" s="174"/>
      <c r="E12" s="174"/>
      <c r="F12" s="174"/>
      <c r="G12" s="171"/>
      <c r="H12" s="113"/>
      <c r="I12" s="369"/>
      <c r="J12" s="62"/>
    </row>
    <row r="13">
      <c r="A13" s="375"/>
      <c r="B13" s="376" t="str">
        <f>IFERROR(VLOOKUP(J11,'Пр.взв'!$D$6:$J$63,6,0),"")</f>
        <v/>
      </c>
      <c r="C13" s="325"/>
      <c r="D13" s="377" t="str">
        <f>IFERROR(VLOOKUP(J11,'Пр.взв'!$D$6:$J$63,7,0),"")</f>
        <v/>
      </c>
      <c r="E13" s="366"/>
      <c r="F13" s="366"/>
      <c r="G13" s="366"/>
      <c r="H13" s="325"/>
      <c r="I13" s="369"/>
      <c r="J13" s="62"/>
    </row>
    <row r="14">
      <c r="A14" s="183"/>
      <c r="B14" s="183"/>
      <c r="C14" s="171"/>
      <c r="D14" s="183"/>
      <c r="E14" s="174"/>
      <c r="F14" s="174"/>
      <c r="G14" s="174"/>
      <c r="H14" s="171"/>
      <c r="I14" s="369"/>
      <c r="J14" s="62"/>
    </row>
    <row r="15">
      <c r="A15" s="369"/>
      <c r="B15" s="369"/>
      <c r="C15" s="369"/>
      <c r="D15" s="369"/>
      <c r="E15" s="369"/>
      <c r="F15" s="369"/>
      <c r="G15" s="369"/>
      <c r="H15" s="369"/>
      <c r="I15" s="369"/>
      <c r="J15" s="62"/>
    </row>
    <row r="16">
      <c r="A16" s="379" t="s">
        <v>400</v>
      </c>
      <c r="B16" s="372" t="str">
        <f>IFERROR(VLOOKUP(J16,'Пр.взв'!$D$6:$J$63,3,0),"")</f>
        <v/>
      </c>
      <c r="C16" s="366"/>
      <c r="D16" s="366"/>
      <c r="E16" s="366"/>
      <c r="F16" s="366"/>
      <c r="G16" s="325"/>
      <c r="H16" s="373" t="str">
        <f>IFERROR(VLOOKUP(J16,'Пр.взв'!$D$6:$J$63,5,0),"")</f>
        <v/>
      </c>
      <c r="I16" s="369"/>
      <c r="J16" s="374" t="str">
        <f>'Ит.пр'!B8</f>
        <v>#N/A</v>
      </c>
    </row>
    <row r="17">
      <c r="A17" s="375"/>
      <c r="B17" s="183"/>
      <c r="C17" s="174"/>
      <c r="D17" s="174"/>
      <c r="E17" s="174"/>
      <c r="F17" s="174"/>
      <c r="G17" s="171"/>
      <c r="H17" s="113"/>
      <c r="I17" s="369"/>
      <c r="J17" s="62"/>
    </row>
    <row r="18">
      <c r="A18" s="375"/>
      <c r="B18" s="376" t="str">
        <f>IFERROR(VLOOKUP(J16,'Пр.взв'!$D$6:$J$63,6,0),"")</f>
        <v/>
      </c>
      <c r="C18" s="325"/>
      <c r="D18" s="377" t="str">
        <f>IFERROR(VLOOKUP(J16,'Пр.взв'!$D$6:$J$63,7,0),"")</f>
        <v/>
      </c>
      <c r="E18" s="366"/>
      <c r="F18" s="366"/>
      <c r="G18" s="366"/>
      <c r="H18" s="325"/>
      <c r="I18" s="369"/>
      <c r="J18" s="62"/>
    </row>
    <row r="19">
      <c r="A19" s="183"/>
      <c r="B19" s="183"/>
      <c r="C19" s="171"/>
      <c r="D19" s="183"/>
      <c r="E19" s="174"/>
      <c r="F19" s="174"/>
      <c r="G19" s="174"/>
      <c r="H19" s="171"/>
      <c r="I19" s="369"/>
      <c r="J19" s="62"/>
    </row>
    <row r="20">
      <c r="A20" s="380"/>
      <c r="B20" s="369"/>
      <c r="C20" s="369"/>
      <c r="D20" s="369"/>
      <c r="E20" s="369"/>
      <c r="F20" s="369"/>
      <c r="G20" s="369"/>
      <c r="H20" s="369"/>
      <c r="I20" s="369"/>
      <c r="J20" s="62"/>
    </row>
    <row r="21">
      <c r="A21" s="379" t="s">
        <v>400</v>
      </c>
      <c r="B21" s="372" t="str">
        <f>IFERROR(VLOOKUP(J21,'Пр.взв'!$D$6:$J$63,3,0),"")</f>
        <v/>
      </c>
      <c r="C21" s="366"/>
      <c r="D21" s="366"/>
      <c r="E21" s="366"/>
      <c r="F21" s="366"/>
      <c r="G21" s="325"/>
      <c r="H21" s="373" t="str">
        <f>IFERROR(VLOOKUP(J21,'Пр.взв'!$D$6:$J$63,5,0),"")</f>
        <v/>
      </c>
      <c r="I21" s="369"/>
      <c r="J21" s="374" t="str">
        <f>'Ит.пр'!B9</f>
        <v>#N/A</v>
      </c>
    </row>
    <row r="22">
      <c r="A22" s="375"/>
      <c r="B22" s="183"/>
      <c r="C22" s="174"/>
      <c r="D22" s="174"/>
      <c r="E22" s="174"/>
      <c r="F22" s="174"/>
      <c r="G22" s="171"/>
      <c r="H22" s="113"/>
      <c r="I22" s="369"/>
      <c r="J22" s="62"/>
    </row>
    <row r="23">
      <c r="A23" s="375"/>
      <c r="B23" s="376" t="str">
        <f>IFERROR(VLOOKUP(J21,'Пр.взв'!$D$6:$J$63,6,0),"")</f>
        <v/>
      </c>
      <c r="C23" s="325"/>
      <c r="D23" s="377" t="str">
        <f>IFERROR(VLOOKUP(J21,'Пр.взв'!$D$6:$J$63,7,0),"")</f>
        <v/>
      </c>
      <c r="E23" s="366"/>
      <c r="F23" s="366"/>
      <c r="G23" s="366"/>
      <c r="H23" s="325"/>
      <c r="I23" s="369"/>
      <c r="J23" s="49"/>
    </row>
    <row r="24">
      <c r="A24" s="183"/>
      <c r="B24" s="183"/>
      <c r="C24" s="171"/>
      <c r="D24" s="183"/>
      <c r="E24" s="174"/>
      <c r="F24" s="174"/>
      <c r="G24" s="174"/>
      <c r="H24" s="171"/>
      <c r="I24" s="369"/>
      <c r="J24" s="49"/>
    </row>
    <row r="25">
      <c r="A25" s="369"/>
      <c r="B25" s="369"/>
      <c r="C25" s="369"/>
      <c r="D25" s="369"/>
      <c r="E25" s="369"/>
      <c r="F25" s="369"/>
      <c r="G25" s="369"/>
      <c r="H25" s="369"/>
      <c r="I25" s="49"/>
      <c r="J25" s="49"/>
    </row>
    <row r="26">
      <c r="A26" s="381" t="s">
        <v>401</v>
      </c>
      <c r="D26" s="369"/>
      <c r="E26" s="369"/>
      <c r="F26" s="369"/>
      <c r="G26" s="369"/>
      <c r="H26" s="369"/>
      <c r="I26" s="49"/>
      <c r="J26" s="49"/>
    </row>
    <row r="27">
      <c r="A27" s="49"/>
      <c r="B27" s="49"/>
      <c r="C27" s="49"/>
      <c r="D27" s="49"/>
      <c r="E27" s="49"/>
      <c r="F27" s="49"/>
      <c r="G27" s="49"/>
      <c r="H27" s="49"/>
      <c r="I27" s="49"/>
      <c r="J27" s="49"/>
    </row>
    <row r="28">
      <c r="A28" s="372" t="str">
        <f>IFERROR(VLOOKUP(J28,'Пр.взв'!$D$6:$M$63,10,0),"")</f>
        <v/>
      </c>
      <c r="B28" s="366"/>
      <c r="C28" s="366"/>
      <c r="D28" s="366"/>
      <c r="E28" s="366"/>
      <c r="F28" s="366"/>
      <c r="G28" s="366"/>
      <c r="H28" s="325"/>
      <c r="I28" s="49"/>
      <c r="J28" s="374" t="str">
        <f>J6</f>
        <v>#N/A</v>
      </c>
    </row>
    <row r="29">
      <c r="A29" s="183"/>
      <c r="B29" s="174"/>
      <c r="C29" s="174"/>
      <c r="D29" s="174"/>
      <c r="E29" s="174"/>
      <c r="F29" s="174"/>
      <c r="G29" s="174"/>
      <c r="H29" s="171"/>
      <c r="I29" s="49"/>
      <c r="J29" s="49"/>
    </row>
    <row r="30">
      <c r="A30" s="49"/>
      <c r="B30" s="49"/>
      <c r="C30" s="49"/>
      <c r="D30" s="49"/>
      <c r="E30" s="49"/>
      <c r="F30" s="49"/>
      <c r="G30" s="49"/>
      <c r="H30" s="49"/>
      <c r="I30" s="49"/>
      <c r="J30" s="49"/>
    </row>
    <row r="31">
      <c r="A31" s="49"/>
      <c r="B31" s="49"/>
      <c r="C31" s="49"/>
      <c r="D31" s="49"/>
      <c r="E31" s="49"/>
      <c r="F31" s="49"/>
      <c r="G31" s="49"/>
      <c r="H31" s="49"/>
      <c r="I31" s="49"/>
      <c r="J31" s="49"/>
    </row>
    <row r="32">
      <c r="A32" s="381" t="s">
        <v>402</v>
      </c>
      <c r="E32" s="369"/>
      <c r="F32" s="369"/>
      <c r="G32" s="369"/>
      <c r="H32" s="369"/>
      <c r="I32" s="49"/>
      <c r="J32" s="49"/>
    </row>
    <row r="33">
      <c r="A33" s="369"/>
      <c r="B33" s="369"/>
      <c r="C33" s="369"/>
      <c r="D33" s="369"/>
      <c r="E33" s="369"/>
      <c r="F33" s="369"/>
      <c r="G33" s="369"/>
      <c r="H33" s="369"/>
      <c r="I33" s="49"/>
      <c r="J33" s="49"/>
    </row>
    <row r="34">
      <c r="A34" s="369"/>
      <c r="B34" s="369"/>
      <c r="C34" s="369"/>
      <c r="D34" s="369"/>
      <c r="E34" s="369"/>
      <c r="F34" s="369"/>
      <c r="G34" s="369"/>
      <c r="H34" s="369"/>
      <c r="I34" s="49"/>
      <c r="J34" s="49"/>
    </row>
    <row r="35">
      <c r="A35" s="382"/>
      <c r="B35" s="382"/>
      <c r="C35" s="382"/>
      <c r="D35" s="382"/>
      <c r="E35" s="382"/>
      <c r="F35" s="382"/>
      <c r="G35" s="382"/>
      <c r="H35" s="382"/>
      <c r="I35" s="49"/>
      <c r="J35" s="383"/>
    </row>
    <row r="36">
      <c r="A36" s="369"/>
      <c r="B36" s="369"/>
      <c r="C36" s="369"/>
      <c r="D36" s="369"/>
      <c r="E36" s="369"/>
      <c r="F36" s="369"/>
      <c r="G36" s="369"/>
      <c r="H36" s="369"/>
      <c r="I36" s="49"/>
      <c r="J36" s="49"/>
    </row>
    <row r="37">
      <c r="A37" s="382"/>
      <c r="B37" s="382"/>
      <c r="C37" s="382"/>
      <c r="D37" s="382"/>
      <c r="E37" s="382"/>
      <c r="F37" s="382"/>
      <c r="G37" s="382"/>
      <c r="H37" s="382"/>
      <c r="I37" s="49"/>
      <c r="J37" s="49"/>
    </row>
    <row r="38">
      <c r="A38" s="384"/>
      <c r="B38" s="384"/>
      <c r="C38" s="384"/>
      <c r="D38" s="384"/>
      <c r="E38" s="384"/>
      <c r="F38" s="384"/>
      <c r="G38" s="384"/>
      <c r="H38" s="384"/>
      <c r="I38" s="49"/>
      <c r="J38" s="49"/>
    </row>
    <row r="39">
      <c r="A39" s="369"/>
      <c r="B39" s="369"/>
      <c r="C39" s="369"/>
      <c r="D39" s="369"/>
      <c r="E39" s="369"/>
      <c r="F39" s="369"/>
      <c r="G39" s="369"/>
      <c r="H39" s="369"/>
      <c r="I39" s="49"/>
      <c r="J39" s="385"/>
    </row>
    <row r="40">
      <c r="A40" s="384"/>
      <c r="B40" s="384"/>
      <c r="C40" s="384"/>
      <c r="D40" s="384"/>
      <c r="E40" s="384"/>
      <c r="F40" s="384"/>
      <c r="G40" s="384"/>
      <c r="H40" s="384"/>
      <c r="I40" s="49"/>
      <c r="J40" s="49"/>
    </row>
  </sheetData>
  <mergeCells count="27">
    <mergeCell ref="B8:C9"/>
    <mergeCell ref="D8:H9"/>
    <mergeCell ref="A1:H1"/>
    <mergeCell ref="A2:H2"/>
    <mergeCell ref="A3:H3"/>
    <mergeCell ref="D4:F4"/>
    <mergeCell ref="A6:A9"/>
    <mergeCell ref="B6:G7"/>
    <mergeCell ref="H6:H7"/>
    <mergeCell ref="A16:A19"/>
    <mergeCell ref="B18:C19"/>
    <mergeCell ref="A21:A24"/>
    <mergeCell ref="B23:C24"/>
    <mergeCell ref="A26:C26"/>
    <mergeCell ref="D18:H19"/>
    <mergeCell ref="B21:G22"/>
    <mergeCell ref="H21:H22"/>
    <mergeCell ref="D23:H24"/>
    <mergeCell ref="A28:H29"/>
    <mergeCell ref="A32:D32"/>
    <mergeCell ref="A11:A14"/>
    <mergeCell ref="B11:G12"/>
    <mergeCell ref="H11:H12"/>
    <mergeCell ref="B13:C14"/>
    <mergeCell ref="D13:H14"/>
    <mergeCell ref="B16:G17"/>
    <mergeCell ref="H16:H17"/>
  </mergeCells>
  <drawing r:id="rId1"/>
</worksheet>
</file>