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Default Extension="jpeg" ContentType="image/jpeg"/>
  <Override PartName="/xl/drawings/drawing4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showInkAnnotation="0" defaultThemeVersion="124226"/>
  <bookViews>
    <workbookView xWindow="120" yWindow="120" windowWidth="9720" windowHeight="7320" activeTab="1"/>
  </bookViews>
  <sheets>
    <sheet name="пр.взв." sheetId="2" r:id="rId1"/>
    <sheet name="пр.хода" sheetId="3" r:id="rId2"/>
    <sheet name="круги" sheetId="7" r:id="rId3"/>
    <sheet name="полуфинал" sheetId="5" r:id="rId4"/>
    <sheet name="Итоговый" sheetId="1" r:id="rId5"/>
    <sheet name="СТАРТОВЫЙ" sheetId="4" r:id="rId6"/>
    <sheet name="нагр. лист" sheetId="6" r:id="rId7"/>
  </sheets>
  <externalReferences>
    <externalReference r:id="rId8"/>
    <externalReference r:id="rId9"/>
  </externalReferences>
  <calcPr calcId="125725"/>
</workbook>
</file>

<file path=xl/calcChain.xml><?xml version="1.0" encoding="utf-8"?>
<calcChain xmlns="http://schemas.openxmlformats.org/spreadsheetml/2006/main">
  <c r="H43" i="1"/>
  <c r="H40"/>
  <c r="F43"/>
  <c r="F40"/>
  <c r="O40" i="3" l="1"/>
  <c r="J40"/>
  <c r="O38"/>
  <c r="J38"/>
  <c r="A2" i="2"/>
  <c r="S15" i="3"/>
  <c r="R15"/>
  <c r="D5" i="4"/>
  <c r="C19" i="7"/>
  <c r="E19" s="1"/>
  <c r="Y34" i="3"/>
  <c r="C35" s="1"/>
  <c r="Y33"/>
  <c r="M35" s="1"/>
  <c r="AA28"/>
  <c r="B20" i="1" s="1"/>
  <c r="AA27" i="3"/>
  <c r="B18" i="1" s="1"/>
  <c r="AA25" i="3"/>
  <c r="B14" i="1" s="1"/>
  <c r="Z32" i="3"/>
  <c r="B36" i="1" s="1"/>
  <c r="Z30" i="3"/>
  <c r="B32" i="1" s="1"/>
  <c r="Z31" i="3"/>
  <c r="B34" i="1" s="1"/>
  <c r="Z29" i="3"/>
  <c r="B30" i="1" s="1"/>
  <c r="Y32" i="3"/>
  <c r="I31" s="1"/>
  <c r="Y31"/>
  <c r="Y30"/>
  <c r="I25" s="1"/>
  <c r="Y29"/>
  <c r="A25" s="1"/>
  <c r="Y28"/>
  <c r="I33" s="1"/>
  <c r="Y27"/>
  <c r="A33" s="1"/>
  <c r="Y26"/>
  <c r="I27" s="1"/>
  <c r="Y25"/>
  <c r="A27" s="1"/>
  <c r="T9"/>
  <c r="T11"/>
  <c r="T13"/>
  <c r="T17"/>
  <c r="T19"/>
  <c r="T21"/>
  <c r="T7"/>
  <c r="S7"/>
  <c r="D9"/>
  <c r="D11"/>
  <c r="D13"/>
  <c r="D15"/>
  <c r="D17"/>
  <c r="D19"/>
  <c r="D21"/>
  <c r="D7"/>
  <c r="T12" i="1"/>
  <c r="S21" i="3"/>
  <c r="S17"/>
  <c r="D22" i="4"/>
  <c r="D24"/>
  <c r="D36"/>
  <c r="D34"/>
  <c r="D32"/>
  <c r="D30"/>
  <c r="D28"/>
  <c r="D26"/>
  <c r="D19"/>
  <c r="D15"/>
  <c r="D13"/>
  <c r="D11"/>
  <c r="D9"/>
  <c r="D7"/>
  <c r="A40" i="1"/>
  <c r="B2" i="7"/>
  <c r="G24" s="1"/>
  <c r="H3" i="1"/>
  <c r="D2"/>
  <c r="B34" i="5"/>
  <c r="E34" s="1"/>
  <c r="B32"/>
  <c r="F32" s="1"/>
  <c r="B19"/>
  <c r="F19"/>
  <c r="B7"/>
  <c r="C7" s="1"/>
  <c r="F7"/>
  <c r="P15" i="7"/>
  <c r="P9"/>
  <c r="P11"/>
  <c r="P13"/>
  <c r="P17"/>
  <c r="P19"/>
  <c r="P21"/>
  <c r="P7"/>
  <c r="F15"/>
  <c r="F21"/>
  <c r="F9"/>
  <c r="F11"/>
  <c r="F13"/>
  <c r="F17"/>
  <c r="F7"/>
  <c r="I20" i="3"/>
  <c r="J28" i="6"/>
  <c r="A28" s="1"/>
  <c r="B8" i="1"/>
  <c r="H8" s="1"/>
  <c r="B6"/>
  <c r="E6" s="1"/>
  <c r="B12"/>
  <c r="F12" s="1"/>
  <c r="J12" s="1"/>
  <c r="B10"/>
  <c r="G10" s="1"/>
  <c r="E10"/>
  <c r="L61" i="7"/>
  <c r="M61" s="1"/>
  <c r="O61" s="1"/>
  <c r="L59"/>
  <c r="N59" s="1"/>
  <c r="B61"/>
  <c r="D61" s="1"/>
  <c r="B59"/>
  <c r="F59" s="1"/>
  <c r="L41"/>
  <c r="M41" s="1"/>
  <c r="O41" s="1"/>
  <c r="L39"/>
  <c r="N39"/>
  <c r="P39"/>
  <c r="B41"/>
  <c r="F41" s="1"/>
  <c r="B39"/>
  <c r="F39" s="1"/>
  <c r="L33"/>
  <c r="N33" s="1"/>
  <c r="L31"/>
  <c r="M31" s="1"/>
  <c r="O31" s="1"/>
  <c r="L29"/>
  <c r="N29" s="1"/>
  <c r="L27"/>
  <c r="P27" s="1"/>
  <c r="N27"/>
  <c r="B33"/>
  <c r="F33" s="1"/>
  <c r="B31"/>
  <c r="C31" s="1"/>
  <c r="E31" s="1"/>
  <c r="B29"/>
  <c r="C29" s="1"/>
  <c r="E29" s="1"/>
  <c r="B27"/>
  <c r="D27" s="1"/>
  <c r="C21"/>
  <c r="E21" s="1"/>
  <c r="N21"/>
  <c r="N19"/>
  <c r="N17"/>
  <c r="N15"/>
  <c r="N13"/>
  <c r="N11"/>
  <c r="N9"/>
  <c r="N7"/>
  <c r="M21"/>
  <c r="O21" s="1"/>
  <c r="M19"/>
  <c r="M17"/>
  <c r="O17" s="1"/>
  <c r="M15"/>
  <c r="O15" s="1"/>
  <c r="M13"/>
  <c r="O13" s="1"/>
  <c r="M11"/>
  <c r="O11" s="1"/>
  <c r="M9"/>
  <c r="O9" s="1"/>
  <c r="M7"/>
  <c r="O7" s="1"/>
  <c r="D21"/>
  <c r="D19"/>
  <c r="D17"/>
  <c r="D15"/>
  <c r="D13"/>
  <c r="D11"/>
  <c r="D9"/>
  <c r="D7"/>
  <c r="C17"/>
  <c r="E17" s="1"/>
  <c r="C15"/>
  <c r="E15" s="1"/>
  <c r="C13"/>
  <c r="E13" s="1"/>
  <c r="C11"/>
  <c r="E11" s="1"/>
  <c r="C9"/>
  <c r="E9" s="1"/>
  <c r="C7"/>
  <c r="E7" s="1"/>
  <c r="Q36"/>
  <c r="Q45" s="1"/>
  <c r="G36"/>
  <c r="G45" s="1"/>
  <c r="J21" i="6"/>
  <c r="H21"/>
  <c r="J16"/>
  <c r="H16" s="1"/>
  <c r="J11"/>
  <c r="H11" s="1"/>
  <c r="J6"/>
  <c r="H6" s="1"/>
  <c r="D4"/>
  <c r="A2"/>
  <c r="A1"/>
  <c r="C36" i="4"/>
  <c r="C34"/>
  <c r="C32"/>
  <c r="C30"/>
  <c r="C28"/>
  <c r="C26"/>
  <c r="C24"/>
  <c r="C22"/>
  <c r="B36"/>
  <c r="B34"/>
  <c r="B32"/>
  <c r="B30"/>
  <c r="B28"/>
  <c r="B26"/>
  <c r="B24"/>
  <c r="B22"/>
  <c r="C19"/>
  <c r="B19"/>
  <c r="C17"/>
  <c r="B17"/>
  <c r="C15"/>
  <c r="B15"/>
  <c r="C13"/>
  <c r="B13"/>
  <c r="C11"/>
  <c r="B11"/>
  <c r="C9"/>
  <c r="B9"/>
  <c r="C7"/>
  <c r="B7"/>
  <c r="C5"/>
  <c r="B5"/>
  <c r="C21" i="3"/>
  <c r="C19"/>
  <c r="C17"/>
  <c r="C15"/>
  <c r="C13"/>
  <c r="C11"/>
  <c r="C9"/>
  <c r="C7"/>
  <c r="R32"/>
  <c r="F32"/>
  <c r="E29" i="5"/>
  <c r="E16"/>
  <c r="E2"/>
  <c r="F3" i="4"/>
  <c r="J5" i="3"/>
  <c r="A3" i="2"/>
  <c r="B3" i="1" s="1"/>
  <c r="A1" i="5"/>
  <c r="A40" i="3"/>
  <c r="A43" i="1" s="1"/>
  <c r="A38" i="3"/>
  <c r="I8"/>
  <c r="G44" i="5"/>
  <c r="F44"/>
  <c r="A44"/>
  <c r="G42"/>
  <c r="F42"/>
  <c r="A42"/>
  <c r="F43" i="2"/>
  <c r="E43"/>
  <c r="F41"/>
  <c r="E41"/>
  <c r="M44" i="3"/>
  <c r="B44"/>
  <c r="A2" i="4"/>
  <c r="A1"/>
  <c r="C4" i="3"/>
  <c r="C3"/>
  <c r="S9"/>
  <c r="S11"/>
  <c r="S13"/>
  <c r="S19"/>
  <c r="R9"/>
  <c r="R11"/>
  <c r="R13"/>
  <c r="R19"/>
  <c r="R21"/>
  <c r="R7"/>
  <c r="B13"/>
  <c r="B15"/>
  <c r="B9"/>
  <c r="B11"/>
  <c r="B17"/>
  <c r="B19"/>
  <c r="B21"/>
  <c r="B7"/>
  <c r="L2" i="7"/>
  <c r="Q24" s="1"/>
  <c r="B16" i="6"/>
  <c r="C10" i="1"/>
  <c r="H10"/>
  <c r="D10"/>
  <c r="B21" i="6"/>
  <c r="D33" i="7"/>
  <c r="D29"/>
  <c r="B8" i="6"/>
  <c r="P33" i="7"/>
  <c r="E32" i="5"/>
  <c r="B23" i="6"/>
  <c r="B18"/>
  <c r="D18"/>
  <c r="C32" i="5"/>
  <c r="E19"/>
  <c r="D7"/>
  <c r="E7"/>
  <c r="C33" i="7"/>
  <c r="E33" s="1"/>
  <c r="P41"/>
  <c r="D34" i="5"/>
  <c r="C6" i="1"/>
  <c r="H6"/>
  <c r="G6"/>
  <c r="C59" i="7"/>
  <c r="E59" s="1"/>
  <c r="P61"/>
  <c r="N41"/>
  <c r="D19" i="5"/>
  <c r="M39" i="7"/>
  <c r="O39" s="1"/>
  <c r="C41"/>
  <c r="E41" s="1"/>
  <c r="C19" i="5"/>
  <c r="N61" i="7"/>
  <c r="P59"/>
  <c r="C61"/>
  <c r="E61" s="1"/>
  <c r="F61"/>
  <c r="D59"/>
  <c r="F34" i="5"/>
  <c r="C34"/>
  <c r="M27" i="7"/>
  <c r="O27" s="1"/>
  <c r="N31"/>
  <c r="P31"/>
  <c r="P29"/>
  <c r="D31"/>
  <c r="AA26" i="3"/>
  <c r="B16" i="1" s="1"/>
  <c r="F16" s="1"/>
  <c r="J16" s="1"/>
  <c r="G8"/>
  <c r="D13" i="6"/>
  <c r="E8" i="1"/>
  <c r="C8"/>
  <c r="G12"/>
  <c r="D23" i="6"/>
  <c r="E12" i="1"/>
  <c r="C12"/>
  <c r="H12"/>
  <c r="D12"/>
  <c r="T15" i="3"/>
  <c r="F19" i="7"/>
  <c r="O19"/>
  <c r="D17" i="4"/>
  <c r="B11" i="6" l="1"/>
  <c r="B13"/>
  <c r="F8" i="1"/>
  <c r="J8" s="1"/>
  <c r="O6" s="1"/>
  <c r="D8"/>
  <c r="F10"/>
  <c r="J10" s="1"/>
  <c r="M59" i="7"/>
  <c r="O59" s="1"/>
  <c r="L52"/>
  <c r="Z28" i="3"/>
  <c r="B28" i="1" s="1"/>
  <c r="J31" i="3"/>
  <c r="Z26"/>
  <c r="B24" i="1" s="1"/>
  <c r="G24" s="1"/>
  <c r="J25" i="3"/>
  <c r="L48" i="7"/>
  <c r="B31" i="3"/>
  <c r="B52" i="7"/>
  <c r="Z27" i="3"/>
  <c r="B26" i="1" s="1"/>
  <c r="C26" s="1"/>
  <c r="D41" i="7"/>
  <c r="H16" i="1"/>
  <c r="G16"/>
  <c r="C39" i="7"/>
  <c r="E39" s="1"/>
  <c r="E16" i="1"/>
  <c r="D16"/>
  <c r="D39" i="7"/>
  <c r="G32" i="1"/>
  <c r="H32"/>
  <c r="E32"/>
  <c r="C32"/>
  <c r="F32"/>
  <c r="D32"/>
  <c r="J27" i="3"/>
  <c r="L50" i="7"/>
  <c r="H24" i="1"/>
  <c r="B27" i="3"/>
  <c r="B50" i="7"/>
  <c r="F30" i="1"/>
  <c r="E30"/>
  <c r="C30"/>
  <c r="D30"/>
  <c r="H30"/>
  <c r="G30"/>
  <c r="C27" i="7"/>
  <c r="E27" s="1"/>
  <c r="D50"/>
  <c r="F27"/>
  <c r="F6" i="1"/>
  <c r="J4" s="1"/>
  <c r="D8" i="6"/>
  <c r="D6" i="1"/>
  <c r="E26"/>
  <c r="H26"/>
  <c r="E34"/>
  <c r="G34"/>
  <c r="C34"/>
  <c r="H34"/>
  <c r="D34"/>
  <c r="F34"/>
  <c r="B6" i="6"/>
  <c r="M29" i="7"/>
  <c r="O29" s="1"/>
  <c r="P9" i="1"/>
  <c r="P14"/>
  <c r="P11"/>
  <c r="P6"/>
  <c r="P7"/>
  <c r="P17"/>
  <c r="P16"/>
  <c r="P8"/>
  <c r="P15"/>
  <c r="P10"/>
  <c r="P12"/>
  <c r="P13"/>
  <c r="H20"/>
  <c r="E20"/>
  <c r="D20"/>
  <c r="F20"/>
  <c r="G20"/>
  <c r="C20"/>
  <c r="O13"/>
  <c r="T7"/>
  <c r="O11"/>
  <c r="O7"/>
  <c r="O8"/>
  <c r="O17"/>
  <c r="B25" i="3"/>
  <c r="B48" i="7"/>
  <c r="Z25" i="3"/>
  <c r="B22" i="1" s="1"/>
  <c r="E18"/>
  <c r="C18"/>
  <c r="F18"/>
  <c r="G18"/>
  <c r="D18"/>
  <c r="H18"/>
  <c r="N17"/>
  <c r="T6"/>
  <c r="N11"/>
  <c r="N7"/>
  <c r="N8"/>
  <c r="N14"/>
  <c r="N10"/>
  <c r="N15"/>
  <c r="N9"/>
  <c r="N16"/>
  <c r="N13"/>
  <c r="N12"/>
  <c r="N6"/>
  <c r="L54" i="7"/>
  <c r="J33" i="3"/>
  <c r="E14" i="1"/>
  <c r="F14"/>
  <c r="J14" s="1"/>
  <c r="G14"/>
  <c r="H14"/>
  <c r="C14"/>
  <c r="D14"/>
  <c r="D35" i="3"/>
  <c r="B9" i="5"/>
  <c r="G28" i="1"/>
  <c r="D28"/>
  <c r="H28"/>
  <c r="C28"/>
  <c r="F28"/>
  <c r="E28"/>
  <c r="B33" i="3"/>
  <c r="B54" i="7"/>
  <c r="D36" i="1"/>
  <c r="G36"/>
  <c r="E36"/>
  <c r="F36"/>
  <c r="H36"/>
  <c r="C36"/>
  <c r="B21" i="5"/>
  <c r="N35" i="3"/>
  <c r="T9" i="1"/>
  <c r="C16"/>
  <c r="F29" i="7"/>
  <c r="F31"/>
  <c r="M33"/>
  <c r="O33" s="1"/>
  <c r="D32" i="5"/>
  <c r="T8" i="1" l="1"/>
  <c r="T13"/>
  <c r="O12"/>
  <c r="O15"/>
  <c r="O9"/>
  <c r="O14"/>
  <c r="O10"/>
  <c r="O16"/>
  <c r="F24"/>
  <c r="C24"/>
  <c r="E24"/>
  <c r="D24"/>
  <c r="G26"/>
  <c r="P52" i="7"/>
  <c r="N52"/>
  <c r="M52"/>
  <c r="O52" s="1"/>
  <c r="M48"/>
  <c r="O48" s="1"/>
  <c r="N48"/>
  <c r="P48"/>
  <c r="F26" i="1"/>
  <c r="D26"/>
  <c r="D52" i="7"/>
  <c r="C52"/>
  <c r="E52" s="1"/>
  <c r="F52"/>
  <c r="M50"/>
  <c r="O50" s="1"/>
  <c r="N50"/>
  <c r="P50"/>
  <c r="C50"/>
  <c r="E50" s="1"/>
  <c r="F50"/>
  <c r="T11" i="1"/>
  <c r="U11" s="1"/>
  <c r="E21" i="5"/>
  <c r="D21"/>
  <c r="F21"/>
  <c r="C21"/>
  <c r="P18" i="1"/>
  <c r="C54" i="7"/>
  <c r="E54" s="1"/>
  <c r="F54"/>
  <c r="D54"/>
  <c r="Q6" i="1"/>
  <c r="Q7"/>
  <c r="Q10"/>
  <c r="Q14"/>
  <c r="Q16"/>
  <c r="Q9"/>
  <c r="Q15"/>
  <c r="Q13"/>
  <c r="T10"/>
  <c r="Q11"/>
  <c r="Q12"/>
  <c r="Q17"/>
  <c r="Q8"/>
  <c r="F48" i="7"/>
  <c r="C48"/>
  <c r="E48" s="1"/>
  <c r="D48"/>
  <c r="N18" i="1"/>
  <c r="U9"/>
  <c r="V9"/>
  <c r="X9"/>
  <c r="W9"/>
  <c r="P54" i="7"/>
  <c r="N54"/>
  <c r="M54"/>
  <c r="O54" s="1"/>
  <c r="V6" i="1"/>
  <c r="X6"/>
  <c r="U6"/>
  <c r="W6"/>
  <c r="F22"/>
  <c r="C22"/>
  <c r="E22"/>
  <c r="H22"/>
  <c r="G22"/>
  <c r="D22"/>
  <c r="U8"/>
  <c r="W8"/>
  <c r="X8"/>
  <c r="V8"/>
  <c r="E9" i="5"/>
  <c r="C9"/>
  <c r="D9"/>
  <c r="F9"/>
  <c r="U7" i="1"/>
  <c r="X7"/>
  <c r="V7"/>
  <c r="W7"/>
  <c r="O18" l="1"/>
  <c r="W11"/>
  <c r="V11"/>
  <c r="X11"/>
  <c r="U10"/>
  <c r="U18" s="1"/>
  <c r="X10"/>
  <c r="W10"/>
  <c r="V10"/>
  <c r="Q18"/>
  <c r="W18" l="1"/>
  <c r="X18"/>
  <c r="V18"/>
</calcChain>
</file>

<file path=xl/sharedStrings.xml><?xml version="1.0" encoding="utf-8"?>
<sst xmlns="http://schemas.openxmlformats.org/spreadsheetml/2006/main" count="346" uniqueCount="155">
  <si>
    <t>А</t>
  </si>
  <si>
    <t>Б</t>
  </si>
  <si>
    <t>А1</t>
  </si>
  <si>
    <t>Б1</t>
  </si>
  <si>
    <t>№ п/ж</t>
  </si>
  <si>
    <t>Ф.И.О.</t>
  </si>
  <si>
    <t>Дата рожд., разряд</t>
  </si>
  <si>
    <t>Округ, субъект, город, ведомство</t>
  </si>
  <si>
    <t>Тренер</t>
  </si>
  <si>
    <t>№ п\п</t>
  </si>
  <si>
    <t>№ карточки</t>
  </si>
  <si>
    <t>ВСТРЕЧА 1</t>
  </si>
  <si>
    <t>Цвет</t>
  </si>
  <si>
    <t>Д. р., разряд</t>
  </si>
  <si>
    <t>Вед., регион</t>
  </si>
  <si>
    <t>Оценки</t>
  </si>
  <si>
    <t>Рез-т</t>
  </si>
  <si>
    <t>Время</t>
  </si>
  <si>
    <t>Руководитель ковра</t>
  </si>
  <si>
    <t>ВСТРЕЧА 2</t>
  </si>
  <si>
    <t>ФИНАЛ</t>
  </si>
  <si>
    <t>ЗА 3 МЕСТО</t>
  </si>
  <si>
    <t>3А 3 МЕСТО</t>
  </si>
  <si>
    <t>ВСЕРОССИЙСКАЯ ФЕДЕРАЦИЯ САМБО</t>
  </si>
  <si>
    <t xml:space="preserve">ПРОТОКОЛ ХОДА СОРЕВНОВАНИЙ        </t>
  </si>
  <si>
    <t xml:space="preserve">ИТОГОВЫЙ ПРОТОКОЛ                                                         </t>
  </si>
  <si>
    <t>ПРОТОКОЛ ВЗВЕШИВАНИЯ</t>
  </si>
  <si>
    <t>УТЕШИТЕЛЬНЫЕ ВСТРЕЧИ</t>
  </si>
  <si>
    <t>1 место</t>
  </si>
  <si>
    <t>2 место</t>
  </si>
  <si>
    <t>НАГРАДНОЙ ЛИСТ</t>
  </si>
  <si>
    <t>I м</t>
  </si>
  <si>
    <t>II м</t>
  </si>
  <si>
    <t>III м</t>
  </si>
  <si>
    <t>Награждение проводят:</t>
  </si>
  <si>
    <t>A</t>
  </si>
  <si>
    <t>№ j</t>
  </si>
  <si>
    <t>tame</t>
  </si>
  <si>
    <t>1/8</t>
  </si>
  <si>
    <t>1/4</t>
  </si>
  <si>
    <t>ВСТРЕЧИ ПО КРУГАМ</t>
  </si>
  <si>
    <t xml:space="preserve"> (Круг)</t>
  </si>
  <si>
    <t>№ встр</t>
  </si>
  <si>
    <t>Очки</t>
  </si>
  <si>
    <t>Полуфинал</t>
  </si>
  <si>
    <t xml:space="preserve"> (Утешительные встречи)</t>
  </si>
  <si>
    <t>(Утешительные встречи)</t>
  </si>
  <si>
    <t>3 место</t>
  </si>
  <si>
    <t>7-8</t>
  </si>
  <si>
    <t xml:space="preserve"> место</t>
  </si>
  <si>
    <t>Тренер победителя:</t>
  </si>
  <si>
    <t>гл.судья:</t>
  </si>
  <si>
    <t>гл.секретарь:</t>
  </si>
  <si>
    <t>судьи:</t>
  </si>
  <si>
    <t>врач:</t>
  </si>
  <si>
    <t>9-12</t>
  </si>
  <si>
    <t>13-16</t>
  </si>
  <si>
    <t>№пп</t>
  </si>
  <si>
    <t>Субъект</t>
  </si>
  <si>
    <t>СМИТ</t>
  </si>
  <si>
    <t>Алтайский</t>
  </si>
  <si>
    <t>Забайкальский</t>
  </si>
  <si>
    <t>Иркутская</t>
  </si>
  <si>
    <t>Кемеровская</t>
  </si>
  <si>
    <t>Красноярский</t>
  </si>
  <si>
    <t>Новосибирская</t>
  </si>
  <si>
    <t>Омская</t>
  </si>
  <si>
    <t>Р.Алтай</t>
  </si>
  <si>
    <t>Р.Бурятия</t>
  </si>
  <si>
    <t>Р.Хакасия</t>
  </si>
  <si>
    <t>Томская</t>
  </si>
  <si>
    <t>ХМАО</t>
  </si>
  <si>
    <t>у</t>
  </si>
  <si>
    <t>м</t>
  </si>
  <si>
    <t>в.к. 68  кг.</t>
  </si>
  <si>
    <t xml:space="preserve"> Кабанова Екатерина Александровна</t>
  </si>
  <si>
    <t xml:space="preserve"> 13.01.91 мс</t>
  </si>
  <si>
    <t>МОС</t>
  </si>
  <si>
    <t>Москва МКС</t>
  </si>
  <si>
    <t>Кабанов Д.Б., Фунтиков П.В.</t>
  </si>
  <si>
    <t>НАЗАРЕНКО Олеся Евгеньевна</t>
  </si>
  <si>
    <t>21.03.76 мсмк</t>
  </si>
  <si>
    <t xml:space="preserve">Москва С-70 Д </t>
  </si>
  <si>
    <t>2908288664.</t>
  </si>
  <si>
    <t>Мкртычан СЛ, Ходырев АН</t>
  </si>
  <si>
    <t xml:space="preserve">Станкевич Виктория Владимировна </t>
  </si>
  <si>
    <t>12.11.90 мс</t>
  </si>
  <si>
    <t>Москва</t>
  </si>
  <si>
    <t>Дмитриева ОВ, Цуварев МВ</t>
  </si>
  <si>
    <t>Власова Александра Игоревна</t>
  </si>
  <si>
    <t>15.05.96 кмс</t>
  </si>
  <si>
    <t>ПФО</t>
  </si>
  <si>
    <t>Саратовская, Саратов</t>
  </si>
  <si>
    <t>Сергиенко ДН, Мельникова ЕН</t>
  </si>
  <si>
    <t>КРЮКОВА Ольга Владимировна</t>
  </si>
  <si>
    <t>16.03.95 мс</t>
  </si>
  <si>
    <t xml:space="preserve">Самарская, Самара  </t>
  </si>
  <si>
    <t>Сараева А.А.</t>
  </si>
  <si>
    <t>Мохнаткина Марина Юрьевна</t>
  </si>
  <si>
    <t>12.05.88 змс</t>
  </si>
  <si>
    <t>Пермский Пермь Д</t>
  </si>
  <si>
    <t>000295</t>
  </si>
  <si>
    <t>Газеев АГ</t>
  </si>
  <si>
    <t>Лугова Маргарита Витальевна</t>
  </si>
  <si>
    <t>23.06.92 мс</t>
  </si>
  <si>
    <t>СПБ</t>
  </si>
  <si>
    <t xml:space="preserve">С.Петербург </t>
  </si>
  <si>
    <t>Архипов АВ</t>
  </si>
  <si>
    <t>Чемерская Анна Владимировна</t>
  </si>
  <si>
    <t>08.08.94 мс</t>
  </si>
  <si>
    <t>СФО</t>
  </si>
  <si>
    <t xml:space="preserve">Новосибирская Новосибирск  </t>
  </si>
  <si>
    <t xml:space="preserve">Орлов А.А </t>
  </si>
  <si>
    <t>ДИНДЮК Анастасия Александровна</t>
  </si>
  <si>
    <t>26.04.92.кмс</t>
  </si>
  <si>
    <t>СФО,Новосибирская,Болотное,МО</t>
  </si>
  <si>
    <t>Нежлукченко ЮН</t>
  </si>
  <si>
    <t>Осинцева Илона Сергеевна</t>
  </si>
  <si>
    <t>12.03.95 мс</t>
  </si>
  <si>
    <t>УФО</t>
  </si>
  <si>
    <t>Курганская, Шадринск</t>
  </si>
  <si>
    <t>Старцев АА, Жавкин ЭБ</t>
  </si>
  <si>
    <t>ГУРЦИЕВА Маргарита Касполатовна</t>
  </si>
  <si>
    <t>ЮФО</t>
  </si>
  <si>
    <t>РСО-Алания, Владикавказ Д</t>
  </si>
  <si>
    <t>Лолаев Т.Г.</t>
  </si>
  <si>
    <t>Куцар Яна Олеговна</t>
  </si>
  <si>
    <t>29.05.96 кмс</t>
  </si>
  <si>
    <t>ЦФО</t>
  </si>
  <si>
    <t>Московская</t>
  </si>
  <si>
    <t>Федунов А.И.</t>
  </si>
  <si>
    <t>Петренко Наталья Андреевна</t>
  </si>
  <si>
    <t>22.02.91 мс</t>
  </si>
  <si>
    <t xml:space="preserve">Краснодарский, Лабинск  </t>
  </si>
  <si>
    <t>Абрамян СА</t>
  </si>
  <si>
    <t>Вереденко Дарья Андреевна</t>
  </si>
  <si>
    <t>12.06.95 мс</t>
  </si>
  <si>
    <t>ДФО</t>
  </si>
  <si>
    <t>Приморский</t>
  </si>
  <si>
    <t>Леонтьев ЮА Фалеева ОА</t>
  </si>
  <si>
    <t>Агеева Татьяна Андреевна</t>
  </si>
  <si>
    <t>06.04.93 мс</t>
  </si>
  <si>
    <t xml:space="preserve">Москва </t>
  </si>
  <si>
    <t>Ходырев АН Некрасова АС</t>
  </si>
  <si>
    <t>14 участников</t>
  </si>
  <si>
    <t xml:space="preserve"> (Круг 1)</t>
  </si>
  <si>
    <t>СКФО</t>
  </si>
  <si>
    <t>15.04.88 мсмк</t>
  </si>
  <si>
    <t>3/0</t>
  </si>
  <si>
    <t>4/0</t>
  </si>
  <si>
    <t>3/1</t>
  </si>
  <si>
    <t>2/0</t>
  </si>
  <si>
    <t>13-14</t>
  </si>
  <si>
    <t>5-6</t>
  </si>
  <si>
    <t xml:space="preserve"> </t>
  </si>
</sst>
</file>

<file path=xl/styles.xml><?xml version="1.0" encoding="utf-8"?>
<styleSheet xmlns="http://schemas.openxmlformats.org/spreadsheetml/2006/main">
  <fonts count="40">
    <font>
      <sz val="10"/>
      <name val="Arial"/>
    </font>
    <font>
      <sz val="10"/>
      <name val="Arial"/>
    </font>
    <font>
      <sz val="12"/>
      <name val="Arial Narrow"/>
      <family val="2"/>
      <charset val="204"/>
    </font>
    <font>
      <b/>
      <sz val="12"/>
      <name val="Arial Narrow"/>
      <family val="2"/>
      <charset val="204"/>
    </font>
    <font>
      <b/>
      <sz val="12"/>
      <name val="Arial"/>
      <family val="2"/>
      <charset val="204"/>
    </font>
    <font>
      <u/>
      <sz val="10"/>
      <color indexed="12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  <font>
      <sz val="10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8"/>
      <name val="Arial"/>
      <family val="2"/>
      <charset val="204"/>
    </font>
    <font>
      <sz val="10"/>
      <name val="Arial"/>
      <family val="2"/>
      <charset val="204"/>
    </font>
    <font>
      <b/>
      <sz val="10"/>
      <color indexed="10"/>
      <name val="Arial Narrow"/>
      <family val="2"/>
      <charset val="204"/>
    </font>
    <font>
      <b/>
      <sz val="12"/>
      <color indexed="17"/>
      <name val="Arial Narrow"/>
      <family val="2"/>
      <charset val="204"/>
    </font>
    <font>
      <sz val="12"/>
      <name val="Arial"/>
      <family val="2"/>
      <charset val="204"/>
    </font>
    <font>
      <b/>
      <i/>
      <sz val="12"/>
      <name val="Arial"/>
      <family val="2"/>
      <charset val="204"/>
    </font>
    <font>
      <sz val="14"/>
      <color indexed="10"/>
      <name val="CyrillicOld"/>
    </font>
    <font>
      <sz val="14"/>
      <name val="Arial"/>
      <family val="2"/>
      <charset val="204"/>
    </font>
    <font>
      <b/>
      <sz val="14"/>
      <name val="Arial"/>
      <family val="2"/>
      <charset val="204"/>
    </font>
    <font>
      <b/>
      <sz val="14"/>
      <color indexed="9"/>
      <name val="Arial"/>
      <family val="2"/>
      <charset val="204"/>
    </font>
    <font>
      <b/>
      <sz val="24"/>
      <color indexed="9"/>
      <name val="Arial"/>
      <family val="2"/>
      <charset val="204"/>
    </font>
    <font>
      <b/>
      <sz val="16"/>
      <name val="Arial Narrow"/>
      <family val="2"/>
      <charset val="204"/>
    </font>
    <font>
      <sz val="12"/>
      <color indexed="10"/>
      <name val="Arial Narrow"/>
      <family val="2"/>
      <charset val="204"/>
    </font>
    <font>
      <sz val="12"/>
      <name val="Arial"/>
      <family val="2"/>
      <charset val="204"/>
    </font>
    <font>
      <sz val="12"/>
      <color indexed="10"/>
      <name val="Arial"/>
      <family val="2"/>
      <charset val="204"/>
    </font>
    <font>
      <sz val="12"/>
      <color indexed="10"/>
      <name val="Arial"/>
      <family val="2"/>
      <charset val="204"/>
    </font>
    <font>
      <sz val="11"/>
      <name val="Arial Narrow"/>
      <family val="2"/>
      <charset val="204"/>
    </font>
    <font>
      <sz val="11"/>
      <color indexed="10"/>
      <name val="Arial Narrow"/>
      <family val="2"/>
      <charset val="204"/>
    </font>
    <font>
      <sz val="10"/>
      <color indexed="10"/>
      <name val="Arial"/>
      <family val="2"/>
      <charset val="204"/>
    </font>
    <font>
      <b/>
      <sz val="10"/>
      <color indexed="10"/>
      <name val="Arial"/>
      <family val="2"/>
      <charset val="204"/>
    </font>
    <font>
      <sz val="10"/>
      <color indexed="10"/>
      <name val="Arial Narrow"/>
      <family val="2"/>
      <charset val="204"/>
    </font>
    <font>
      <sz val="11"/>
      <name val="Arial"/>
      <family val="2"/>
      <charset val="204"/>
    </font>
    <font>
      <i/>
      <sz val="10"/>
      <name val="Arial"/>
      <family val="2"/>
      <charset val="204"/>
    </font>
    <font>
      <b/>
      <sz val="8"/>
      <name val="Arial Narrow"/>
      <family val="2"/>
      <charset val="204"/>
    </font>
    <font>
      <sz val="12"/>
      <color theme="0"/>
      <name val="Arial Narrow"/>
      <family val="2"/>
      <charset val="204"/>
    </font>
    <font>
      <b/>
      <i/>
      <sz val="10"/>
      <color rgb="FFFF0000"/>
      <name val="Arial"/>
      <family val="2"/>
      <charset val="204"/>
    </font>
    <font>
      <sz val="10"/>
      <color theme="0"/>
      <name val="Arial Narrow"/>
      <family val="2"/>
      <charset val="204"/>
    </font>
    <font>
      <b/>
      <sz val="12"/>
      <color theme="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2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17"/>
      </left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 style="medium">
        <color indexed="17"/>
      </right>
      <top/>
      <bottom style="medium">
        <color indexed="17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12"/>
      </left>
      <right/>
      <top style="medium">
        <color indexed="12"/>
      </top>
      <bottom/>
      <diagonal/>
    </border>
    <border>
      <left/>
      <right/>
      <top style="medium">
        <color indexed="12"/>
      </top>
      <bottom/>
      <diagonal/>
    </border>
    <border>
      <left/>
      <right style="medium">
        <color indexed="12"/>
      </right>
      <top style="medium">
        <color indexed="12"/>
      </top>
      <bottom/>
      <diagonal/>
    </border>
    <border>
      <left style="medium">
        <color indexed="12"/>
      </left>
      <right/>
      <top/>
      <bottom style="medium">
        <color indexed="12"/>
      </bottom>
      <diagonal/>
    </border>
    <border>
      <left/>
      <right/>
      <top/>
      <bottom style="medium">
        <color indexed="12"/>
      </bottom>
      <diagonal/>
    </border>
    <border>
      <left/>
      <right style="medium">
        <color indexed="12"/>
      </right>
      <top/>
      <bottom style="medium">
        <color indexed="1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17"/>
      </left>
      <right/>
      <top style="medium">
        <color indexed="17"/>
      </top>
      <bottom/>
      <diagonal/>
    </border>
    <border>
      <left/>
      <right/>
      <top style="medium">
        <color indexed="17"/>
      </top>
      <bottom/>
      <diagonal/>
    </border>
    <border>
      <left/>
      <right style="medium">
        <color indexed="17"/>
      </right>
      <top style="medium">
        <color indexed="17"/>
      </top>
      <bottom/>
      <diagonal/>
    </border>
    <border>
      <left style="medium">
        <color indexed="17"/>
      </left>
      <right/>
      <top/>
      <bottom style="medium">
        <color indexed="17"/>
      </bottom>
      <diagonal/>
    </border>
    <border>
      <left/>
      <right/>
      <top/>
      <bottom style="medium">
        <color indexed="17"/>
      </bottom>
      <diagonal/>
    </border>
    <border>
      <left/>
      <right style="medium">
        <color indexed="17"/>
      </right>
      <top/>
      <bottom style="medium">
        <color indexed="17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521">
    <xf numFmtId="0" fontId="0" fillId="0" borderId="0" xfId="0"/>
    <xf numFmtId="0" fontId="0" fillId="0" borderId="0" xfId="0" applyAlignment="1"/>
    <xf numFmtId="0" fontId="6" fillId="0" borderId="0" xfId="0" applyFont="1"/>
    <xf numFmtId="0" fontId="0" fillId="0" borderId="1" xfId="0" applyBorder="1"/>
    <xf numFmtId="0" fontId="0" fillId="0" borderId="0" xfId="0" applyBorder="1"/>
    <xf numFmtId="0" fontId="1" fillId="0" borderId="0" xfId="0" applyFont="1"/>
    <xf numFmtId="0" fontId="0" fillId="0" borderId="2" xfId="0" applyBorder="1"/>
    <xf numFmtId="0" fontId="9" fillId="0" borderId="0" xfId="0" applyFont="1" applyAlignment="1"/>
    <xf numFmtId="0" fontId="0" fillId="0" borderId="0" xfId="0" applyAlignment="1">
      <alignment horizontal="center"/>
    </xf>
    <xf numFmtId="0" fontId="7" fillId="0" borderId="0" xfId="1" applyNumberFormat="1" applyFont="1" applyAlignment="1" applyProtection="1">
      <alignment vertical="center" wrapText="1"/>
    </xf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49" fontId="2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 wrapText="1"/>
    </xf>
    <xf numFmtId="49" fontId="3" fillId="0" borderId="0" xfId="0" applyNumberFormat="1" applyFont="1" applyBorder="1" applyAlignment="1">
      <alignment horizontal="center" vertical="center" wrapText="1"/>
    </xf>
    <xf numFmtId="49" fontId="0" fillId="0" borderId="0" xfId="0" applyNumberFormat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10" fillId="0" borderId="5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 vertical="center"/>
    </xf>
    <xf numFmtId="49" fontId="3" fillId="0" borderId="6" xfId="0" applyNumberFormat="1" applyFont="1" applyBorder="1" applyAlignment="1">
      <alignment horizontal="center" vertical="center" wrapText="1"/>
    </xf>
    <xf numFmtId="49" fontId="3" fillId="0" borderId="7" xfId="0" applyNumberFormat="1" applyFont="1" applyBorder="1" applyAlignment="1">
      <alignment horizontal="center" vertical="center" wrapText="1"/>
    </xf>
    <xf numFmtId="49" fontId="10" fillId="0" borderId="7" xfId="0" applyNumberFormat="1" applyFont="1" applyBorder="1" applyAlignment="1">
      <alignment horizontal="center" vertical="center"/>
    </xf>
    <xf numFmtId="49" fontId="0" fillId="0" borderId="6" xfId="0" applyNumberForma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6" fillId="0" borderId="8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0" fontId="0" fillId="0" borderId="7" xfId="0" applyBorder="1"/>
    <xf numFmtId="0" fontId="0" fillId="0" borderId="6" xfId="0" applyBorder="1"/>
    <xf numFmtId="49" fontId="0" fillId="0" borderId="0" xfId="0" applyNumberFormat="1" applyBorder="1" applyAlignment="1">
      <alignment horizontal="left" vertical="center"/>
    </xf>
    <xf numFmtId="49" fontId="9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0" fillId="0" borderId="2" xfId="0" applyNumberFormat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0" fillId="0" borderId="5" xfId="0" applyNumberFormat="1" applyBorder="1" applyAlignment="1">
      <alignment horizontal="left" vertical="center"/>
    </xf>
    <xf numFmtId="49" fontId="0" fillId="0" borderId="1" xfId="0" applyNumberFormat="1" applyBorder="1" applyAlignment="1">
      <alignment horizontal="left" vertical="center"/>
    </xf>
    <xf numFmtId="49" fontId="0" fillId="0" borderId="6" xfId="0" applyNumberFormat="1" applyBorder="1" applyAlignment="1">
      <alignment horizontal="left" vertical="center"/>
    </xf>
    <xf numFmtId="0" fontId="4" fillId="0" borderId="9" xfId="0" applyFont="1" applyBorder="1" applyAlignment="1">
      <alignment vertical="center" wrapText="1"/>
    </xf>
    <xf numFmtId="49" fontId="0" fillId="0" borderId="6" xfId="0" applyNumberFormat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 wrapText="1"/>
    </xf>
    <xf numFmtId="0" fontId="6" fillId="0" borderId="0" xfId="1" applyFont="1" applyBorder="1" applyAlignment="1" applyProtection="1">
      <alignment vertical="center" wrapText="1"/>
    </xf>
    <xf numFmtId="0" fontId="1" fillId="0" borderId="0" xfId="1" applyFont="1" applyBorder="1" applyAlignment="1" applyProtection="1">
      <alignment vertical="center" wrapText="1"/>
    </xf>
    <xf numFmtId="0" fontId="4" fillId="0" borderId="0" xfId="0" applyFont="1" applyAlignment="1"/>
    <xf numFmtId="0" fontId="3" fillId="0" borderId="1" xfId="0" applyFont="1" applyBorder="1" applyAlignment="1">
      <alignment horizontal="center" vertical="center" wrapText="1"/>
    </xf>
    <xf numFmtId="0" fontId="6" fillId="0" borderId="0" xfId="1" applyFont="1" applyFill="1" applyBorder="1" applyAlignment="1" applyProtection="1">
      <alignment horizontal="left"/>
    </xf>
    <xf numFmtId="0" fontId="6" fillId="0" borderId="0" xfId="0" applyFont="1" applyBorder="1"/>
    <xf numFmtId="0" fontId="6" fillId="0" borderId="0" xfId="1" applyFont="1" applyBorder="1" applyAlignment="1" applyProtection="1"/>
    <xf numFmtId="0" fontId="13" fillId="0" borderId="0" xfId="1" applyFont="1" applyBorder="1" applyAlignment="1" applyProtection="1"/>
    <xf numFmtId="0" fontId="13" fillId="0" borderId="0" xfId="1" applyFont="1" applyAlignment="1" applyProtection="1"/>
    <xf numFmtId="0" fontId="6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0" xfId="0" applyBorder="1"/>
    <xf numFmtId="0" fontId="6" fillId="0" borderId="0" xfId="1" applyFont="1" applyBorder="1" applyAlignment="1" applyProtection="1">
      <alignment horizontal="center"/>
    </xf>
    <xf numFmtId="49" fontId="6" fillId="0" borderId="0" xfId="0" applyNumberFormat="1" applyFont="1" applyBorder="1" applyAlignment="1">
      <alignment horizontal="left" vertical="center"/>
    </xf>
    <xf numFmtId="0" fontId="0" fillId="0" borderId="0" xfId="0" applyNumberFormat="1" applyBorder="1"/>
    <xf numFmtId="0" fontId="0" fillId="0" borderId="0" xfId="0" applyNumberFormat="1"/>
    <xf numFmtId="0" fontId="6" fillId="0" borderId="0" xfId="0" applyFont="1" applyAlignment="1">
      <alignment horizontal="center"/>
    </xf>
    <xf numFmtId="0" fontId="16" fillId="0" borderId="0" xfId="1" applyFont="1" applyAlignment="1" applyProtection="1"/>
    <xf numFmtId="0" fontId="16" fillId="0" borderId="0" xfId="0" applyFont="1"/>
    <xf numFmtId="0" fontId="16" fillId="0" borderId="0" xfId="0" applyFont="1" applyBorder="1"/>
    <xf numFmtId="0" fontId="17" fillId="0" borderId="0" xfId="1" applyFont="1" applyAlignment="1" applyProtection="1"/>
    <xf numFmtId="0" fontId="1" fillId="0" borderId="0" xfId="0" applyFont="1" applyBorder="1"/>
    <xf numFmtId="0" fontId="6" fillId="0" borderId="0" xfId="1" applyFont="1" applyAlignment="1" applyProtection="1">
      <alignment horizontal="center"/>
    </xf>
    <xf numFmtId="0" fontId="4" fillId="0" borderId="0" xfId="1" applyFont="1" applyAlignment="1" applyProtection="1">
      <alignment horizontal="center" vertical="center"/>
    </xf>
    <xf numFmtId="0" fontId="0" fillId="0" borderId="0" xfId="0" applyAlignment="1">
      <alignment horizontal="right"/>
    </xf>
    <xf numFmtId="0" fontId="20" fillId="0" borderId="0" xfId="0" applyFont="1"/>
    <xf numFmtId="0" fontId="19" fillId="0" borderId="0" xfId="0" applyFont="1"/>
    <xf numFmtId="0" fontId="19" fillId="0" borderId="2" xfId="0" applyFont="1" applyBorder="1"/>
    <xf numFmtId="0" fontId="19" fillId="0" borderId="0" xfId="0" applyFont="1" applyBorder="1"/>
    <xf numFmtId="0" fontId="19" fillId="0" borderId="1" xfId="0" applyFont="1" applyBorder="1"/>
    <xf numFmtId="0" fontId="3" fillId="0" borderId="0" xfId="0" applyFont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5" fillId="0" borderId="0" xfId="0" applyNumberFormat="1" applyFont="1" applyBorder="1" applyAlignment="1">
      <alignment horizontal="center" vertical="center"/>
    </xf>
    <xf numFmtId="49" fontId="25" fillId="0" borderId="9" xfId="0" applyNumberFormat="1" applyFont="1" applyBorder="1" applyAlignment="1">
      <alignment vertical="center"/>
    </xf>
    <xf numFmtId="0" fontId="25" fillId="0" borderId="0" xfId="0" applyNumberFormat="1" applyFont="1" applyBorder="1" applyAlignment="1">
      <alignment horizontal="center" vertical="center"/>
    </xf>
    <xf numFmtId="0" fontId="3" fillId="0" borderId="0" xfId="0" applyNumberFormat="1" applyFont="1" applyAlignment="1">
      <alignment horizontal="center" vertical="center"/>
    </xf>
    <xf numFmtId="0" fontId="4" fillId="0" borderId="9" xfId="0" applyNumberFormat="1" applyFont="1" applyBorder="1" applyAlignment="1">
      <alignment vertical="center"/>
    </xf>
    <xf numFmtId="0" fontId="4" fillId="0" borderId="0" xfId="0" applyNumberFormat="1" applyFont="1" applyBorder="1" applyAlignment="1">
      <alignment horizontal="center" vertical="center"/>
    </xf>
    <xf numFmtId="0" fontId="1" fillId="0" borderId="0" xfId="1" applyFont="1" applyBorder="1" applyAlignment="1" applyProtection="1">
      <alignment horizontal="left"/>
    </xf>
    <xf numFmtId="0" fontId="17" fillId="0" borderId="0" xfId="1" applyFont="1" applyBorder="1" applyAlignment="1" applyProtection="1"/>
    <xf numFmtId="0" fontId="7" fillId="0" borderId="0" xfId="0" applyFont="1"/>
    <xf numFmtId="0" fontId="4" fillId="0" borderId="0" xfId="0" applyFont="1" applyAlignment="1">
      <alignment horizontal="center" vertical="center"/>
    </xf>
    <xf numFmtId="49" fontId="4" fillId="0" borderId="9" xfId="0" applyNumberFormat="1" applyFont="1" applyBorder="1" applyAlignment="1">
      <alignment vertical="center"/>
    </xf>
    <xf numFmtId="49" fontId="2" fillId="0" borderId="11" xfId="0" applyNumberFormat="1" applyFont="1" applyBorder="1" applyAlignment="1">
      <alignment horizontal="center" vertical="center" wrapText="1"/>
    </xf>
    <xf numFmtId="49" fontId="3" fillId="0" borderId="12" xfId="0" applyNumberFormat="1" applyFont="1" applyBorder="1" applyAlignment="1">
      <alignment horizontal="center" vertical="center" wrapText="1"/>
    </xf>
    <xf numFmtId="49" fontId="0" fillId="0" borderId="13" xfId="0" applyNumberFormat="1" applyBorder="1" applyAlignment="1">
      <alignment horizontal="center" vertical="center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0" borderId="16" xfId="0" applyFont="1" applyFill="1" applyBorder="1" applyAlignment="1" applyProtection="1">
      <alignment horizontal="center" vertical="center"/>
      <protection locked="0"/>
    </xf>
    <xf numFmtId="0" fontId="2" fillId="0" borderId="17" xfId="0" applyFont="1" applyBorder="1" applyAlignment="1" applyProtection="1">
      <alignment horizontal="center"/>
      <protection locked="0" hidden="1"/>
    </xf>
    <xf numFmtId="0" fontId="2" fillId="0" borderId="18" xfId="0" applyFont="1" applyBorder="1" applyAlignment="1">
      <alignment horizontal="left" vertical="center"/>
    </xf>
    <xf numFmtId="0" fontId="2" fillId="0" borderId="19" xfId="0" applyNumberFormat="1" applyFont="1" applyFill="1" applyBorder="1" applyAlignment="1" applyProtection="1">
      <alignment horizontal="center"/>
      <protection locked="0" hidden="1"/>
    </xf>
    <xf numFmtId="0" fontId="2" fillId="7" borderId="19" xfId="0" applyNumberFormat="1" applyFont="1" applyFill="1" applyBorder="1" applyAlignment="1" applyProtection="1">
      <alignment horizontal="center"/>
      <protection locked="0" hidden="1"/>
    </xf>
    <xf numFmtId="0" fontId="2" fillId="0" borderId="20" xfId="0" applyFont="1" applyBorder="1" applyAlignment="1" applyProtection="1">
      <alignment horizontal="center"/>
      <protection locked="0" hidden="1"/>
    </xf>
    <xf numFmtId="0" fontId="2" fillId="0" borderId="21" xfId="0" applyFont="1" applyBorder="1" applyAlignment="1" applyProtection="1">
      <alignment horizontal="center"/>
      <protection locked="0" hidden="1"/>
    </xf>
    <xf numFmtId="0" fontId="36" fillId="0" borderId="21" xfId="0" applyFont="1" applyBorder="1" applyAlignment="1" applyProtection="1">
      <alignment horizontal="center"/>
      <protection locked="0" hidden="1"/>
    </xf>
    <xf numFmtId="0" fontId="36" fillId="0" borderId="19" xfId="0" applyNumberFormat="1" applyFont="1" applyFill="1" applyBorder="1" applyAlignment="1" applyProtection="1">
      <alignment horizontal="center"/>
      <protection locked="0" hidden="1"/>
    </xf>
    <xf numFmtId="0" fontId="36" fillId="7" borderId="19" xfId="0" applyNumberFormat="1" applyFont="1" applyFill="1" applyBorder="1" applyAlignment="1" applyProtection="1">
      <alignment horizontal="center"/>
      <protection locked="0" hidden="1"/>
    </xf>
    <xf numFmtId="0" fontId="36" fillId="0" borderId="20" xfId="0" applyFont="1" applyBorder="1" applyAlignment="1" applyProtection="1">
      <alignment horizontal="center"/>
      <protection locked="0" hidden="1"/>
    </xf>
    <xf numFmtId="0" fontId="36" fillId="0" borderId="18" xfId="0" applyFont="1" applyBorder="1" applyAlignment="1">
      <alignment horizontal="left" vertical="center"/>
    </xf>
    <xf numFmtId="0" fontId="2" fillId="0" borderId="20" xfId="0" applyFont="1" applyBorder="1" applyAlignment="1">
      <alignment horizontal="left" vertical="center"/>
    </xf>
    <xf numFmtId="0" fontId="36" fillId="0" borderId="20" xfId="0" applyFont="1" applyBorder="1" applyAlignment="1">
      <alignment horizontal="left" vertical="center"/>
    </xf>
    <xf numFmtId="0" fontId="2" fillId="0" borderId="0" xfId="0" applyFont="1" applyBorder="1" applyAlignment="1" applyProtection="1">
      <alignment horizontal="center"/>
    </xf>
    <xf numFmtId="0" fontId="2" fillId="0" borderId="0" xfId="0" applyFont="1" applyFill="1" applyBorder="1"/>
    <xf numFmtId="0" fontId="3" fillId="2" borderId="22" xfId="0" applyNumberFormat="1" applyFont="1" applyFill="1" applyBorder="1" applyAlignment="1" applyProtection="1">
      <alignment horizontal="center" vertical="center"/>
      <protection locked="0" hidden="1"/>
    </xf>
    <xf numFmtId="0" fontId="36" fillId="7" borderId="18" xfId="0" applyFont="1" applyFill="1" applyBorder="1" applyAlignment="1">
      <alignment horizontal="left" vertical="center"/>
    </xf>
    <xf numFmtId="0" fontId="0" fillId="0" borderId="0" xfId="0" applyProtection="1">
      <protection locked="0"/>
    </xf>
    <xf numFmtId="0" fontId="0" fillId="0" borderId="0" xfId="0" applyBorder="1" applyProtection="1"/>
    <xf numFmtId="0" fontId="0" fillId="0" borderId="0" xfId="0" applyProtection="1"/>
    <xf numFmtId="0" fontId="0" fillId="7" borderId="0" xfId="0" applyFill="1" applyBorder="1" applyProtection="1"/>
    <xf numFmtId="0" fontId="37" fillId="7" borderId="0" xfId="0" applyFont="1" applyFill="1" applyBorder="1" applyProtection="1"/>
    <xf numFmtId="0" fontId="37" fillId="0" borderId="0" xfId="0" applyFont="1" applyBorder="1" applyProtection="1"/>
    <xf numFmtId="0" fontId="0" fillId="8" borderId="0" xfId="0" applyFill="1" applyProtection="1"/>
    <xf numFmtId="0" fontId="0" fillId="0" borderId="0" xfId="0" applyProtection="1">
      <protection locked="0" hidden="1"/>
    </xf>
    <xf numFmtId="0" fontId="0" fillId="8" borderId="0" xfId="0" applyFill="1" applyProtection="1">
      <protection locked="0" hidden="1"/>
    </xf>
    <xf numFmtId="0" fontId="7" fillId="0" borderId="0" xfId="1" applyNumberFormat="1" applyFont="1" applyAlignment="1" applyProtection="1">
      <alignment vertical="center" wrapText="1"/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0" fillId="0" borderId="0" xfId="0" applyBorder="1" applyProtection="1">
      <protection locked="0"/>
    </xf>
    <xf numFmtId="0" fontId="1" fillId="0" borderId="0" xfId="0" applyFont="1" applyProtection="1">
      <protection locked="0"/>
    </xf>
    <xf numFmtId="0" fontId="4" fillId="0" borderId="9" xfId="0" applyFont="1" applyBorder="1" applyAlignment="1" applyProtection="1">
      <alignment vertical="center" wrapText="1"/>
      <protection locked="0"/>
    </xf>
    <xf numFmtId="0" fontId="0" fillId="7" borderId="0" xfId="0" applyFill="1" applyBorder="1" applyProtection="1">
      <protection locked="0"/>
    </xf>
    <xf numFmtId="0" fontId="2" fillId="0" borderId="0" xfId="0" applyNumberFormat="1" applyFont="1" applyBorder="1" applyAlignment="1" applyProtection="1">
      <alignment horizontal="center" vertical="center" wrapText="1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left" vertical="center"/>
      <protection locked="0"/>
    </xf>
    <xf numFmtId="0" fontId="6" fillId="0" borderId="0" xfId="0" applyNumberFormat="1" applyFont="1" applyBorder="1" applyAlignment="1" applyProtection="1">
      <alignment horizontal="center" vertical="center"/>
      <protection locked="0"/>
    </xf>
    <xf numFmtId="0" fontId="0" fillId="0" borderId="0" xfId="0" applyNumberFormat="1" applyProtection="1">
      <protection locked="0"/>
    </xf>
    <xf numFmtId="0" fontId="3" fillId="0" borderId="4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NumberFormat="1" applyFont="1" applyBorder="1" applyAlignment="1" applyProtection="1">
      <alignment horizontal="center" vertical="center"/>
      <protection locked="0"/>
    </xf>
    <xf numFmtId="49" fontId="8" fillId="0" borderId="3" xfId="0" applyNumberFormat="1" applyFont="1" applyBorder="1" applyAlignment="1" applyProtection="1">
      <alignment horizontal="center" vertical="center" wrapText="1"/>
      <protection locked="0"/>
    </xf>
    <xf numFmtId="0" fontId="10" fillId="0" borderId="5" xfId="0" applyNumberFormat="1" applyFont="1" applyBorder="1" applyAlignment="1" applyProtection="1">
      <alignment horizontal="center" vertical="center"/>
      <protection locked="0"/>
    </xf>
    <xf numFmtId="0" fontId="6" fillId="0" borderId="23" xfId="0" applyNumberFormat="1" applyFont="1" applyBorder="1" applyAlignment="1" applyProtection="1">
      <alignment horizontal="center" vertical="center"/>
      <protection locked="0"/>
    </xf>
    <xf numFmtId="0" fontId="3" fillId="0" borderId="0" xfId="0" applyNumberFormat="1" applyFont="1" applyBorder="1" applyAlignment="1" applyProtection="1">
      <alignment horizontal="center" vertical="center" wrapText="1"/>
      <protection locked="0"/>
    </xf>
    <xf numFmtId="0" fontId="10" fillId="0" borderId="6" xfId="0" applyNumberFormat="1" applyFont="1" applyBorder="1" applyAlignment="1" applyProtection="1">
      <alignment horizontal="center" vertical="center"/>
      <protection locked="0"/>
    </xf>
    <xf numFmtId="0" fontId="7" fillId="0" borderId="0" xfId="0" applyNumberFormat="1" applyFont="1" applyProtection="1">
      <protection locked="0"/>
    </xf>
    <xf numFmtId="0" fontId="6" fillId="0" borderId="8" xfId="0" applyNumberFormat="1" applyFont="1" applyBorder="1" applyAlignment="1" applyProtection="1">
      <alignment horizontal="center" vertical="center"/>
      <protection locked="0"/>
    </xf>
    <xf numFmtId="0" fontId="0" fillId="0" borderId="5" xfId="0" applyNumberFormat="1" applyBorder="1" applyAlignment="1" applyProtection="1">
      <alignment horizontal="center" vertical="center"/>
      <protection locked="0"/>
    </xf>
    <xf numFmtId="0" fontId="10" fillId="0" borderId="7" xfId="0" applyNumberFormat="1" applyFont="1" applyBorder="1" applyAlignment="1" applyProtection="1">
      <alignment horizontal="center" vertical="center"/>
      <protection locked="0"/>
    </xf>
    <xf numFmtId="0" fontId="0" fillId="0" borderId="6" xfId="0" applyNumberFormat="1" applyBorder="1" applyAlignment="1" applyProtection="1">
      <alignment horizontal="center" vertical="center"/>
      <protection locked="0"/>
    </xf>
    <xf numFmtId="0" fontId="6" fillId="0" borderId="24" xfId="0" applyNumberFormat="1" applyFont="1" applyBorder="1" applyAlignment="1" applyProtection="1">
      <alignment horizontal="center" vertical="center"/>
      <protection locked="0"/>
    </xf>
    <xf numFmtId="0" fontId="6" fillId="0" borderId="8" xfId="0" applyNumberFormat="1" applyFont="1" applyBorder="1" applyAlignment="1" applyProtection="1">
      <alignment vertical="center"/>
      <protection locked="0"/>
    </xf>
    <xf numFmtId="0" fontId="6" fillId="0" borderId="0" xfId="0" applyNumberFormat="1" applyFont="1" applyBorder="1" applyAlignment="1" applyProtection="1">
      <alignment vertical="center"/>
      <protection locked="0"/>
    </xf>
    <xf numFmtId="0" fontId="0" fillId="0" borderId="7" xfId="0" applyNumberFormat="1" applyBorder="1" applyAlignment="1" applyProtection="1">
      <alignment horizontal="center" vertical="center"/>
      <protection locked="0"/>
    </xf>
    <xf numFmtId="0" fontId="3" fillId="0" borderId="6" xfId="0" applyNumberFormat="1" applyFont="1" applyBorder="1" applyAlignment="1" applyProtection="1">
      <alignment horizontal="center" vertical="center" wrapText="1"/>
      <protection locked="0"/>
    </xf>
    <xf numFmtId="0" fontId="3" fillId="0" borderId="7" xfId="0" applyNumberFormat="1" applyFont="1" applyBorder="1" applyAlignment="1" applyProtection="1">
      <alignment horizontal="center" vertical="center" wrapText="1"/>
      <protection locked="0"/>
    </xf>
    <xf numFmtId="0" fontId="6" fillId="0" borderId="25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protection locked="0"/>
    </xf>
    <xf numFmtId="0" fontId="9" fillId="0" borderId="0" xfId="0" applyFont="1" applyAlignment="1" applyProtection="1">
      <protection locked="0"/>
    </xf>
    <xf numFmtId="0" fontId="0" fillId="0" borderId="0" xfId="0" applyNumberFormat="1" applyBorder="1" applyProtection="1">
      <protection locked="0"/>
    </xf>
    <xf numFmtId="0" fontId="0" fillId="0" borderId="0" xfId="0" applyNumberFormat="1" applyBorder="1" applyAlignment="1" applyProtection="1">
      <alignment horizontal="center"/>
      <protection locked="0"/>
    </xf>
    <xf numFmtId="0" fontId="8" fillId="0" borderId="0" xfId="0" applyFont="1" applyProtection="1">
      <protection locked="0"/>
    </xf>
    <xf numFmtId="0" fontId="6" fillId="0" borderId="0" xfId="0" applyFont="1" applyAlignment="1" applyProtection="1">
      <protection locked="0"/>
    </xf>
    <xf numFmtId="0" fontId="6" fillId="0" borderId="0" xfId="0" applyFont="1" applyBorder="1" applyAlignment="1" applyProtection="1">
      <protection locked="0"/>
    </xf>
    <xf numFmtId="49" fontId="0" fillId="0" borderId="0" xfId="0" applyNumberFormat="1" applyBorder="1" applyAlignment="1" applyProtection="1">
      <alignment horizontal="left" vertical="center"/>
      <protection locked="0"/>
    </xf>
    <xf numFmtId="49" fontId="6" fillId="0" borderId="0" xfId="0" applyNumberFormat="1" applyFont="1" applyBorder="1" applyAlignment="1" applyProtection="1">
      <alignment horizontal="left" vertical="center"/>
      <protection locked="0"/>
    </xf>
    <xf numFmtId="49" fontId="34" fillId="0" borderId="0" xfId="0" applyNumberFormat="1" applyFont="1" applyBorder="1" applyAlignment="1" applyProtection="1">
      <alignment horizontal="left" vertical="center"/>
      <protection locked="0"/>
    </xf>
    <xf numFmtId="0" fontId="6" fillId="0" borderId="1" xfId="0" applyNumberFormat="1" applyFont="1" applyBorder="1" applyAlignment="1" applyProtection="1">
      <alignment horizontal="center" vertical="center"/>
      <protection locked="0"/>
    </xf>
    <xf numFmtId="49" fontId="7" fillId="0" borderId="0" xfId="0" applyNumberFormat="1" applyFont="1" applyBorder="1" applyAlignment="1" applyProtection="1">
      <alignment horizontal="center" vertical="center"/>
      <protection locked="0"/>
    </xf>
    <xf numFmtId="0" fontId="15" fillId="0" borderId="0" xfId="0" applyNumberFormat="1" applyFont="1" applyBorder="1" applyAlignment="1" applyProtection="1">
      <alignment vertical="center" wrapText="1"/>
      <protection locked="0"/>
    </xf>
    <xf numFmtId="0" fontId="1" fillId="0" borderId="0" xfId="1" applyFont="1" applyAlignment="1" applyProtection="1">
      <protection locked="0"/>
    </xf>
    <xf numFmtId="0" fontId="1" fillId="0" borderId="0" xfId="1" applyFont="1" applyBorder="1" applyAlignment="1" applyProtection="1">
      <protection locked="0"/>
    </xf>
    <xf numFmtId="0" fontId="1" fillId="0" borderId="0" xfId="1" applyFont="1" applyBorder="1" applyAlignment="1" applyProtection="1">
      <alignment horizontal="center"/>
      <protection locked="0"/>
    </xf>
    <xf numFmtId="0" fontId="1" fillId="0" borderId="0" xfId="1" applyNumberFormat="1" applyFont="1" applyBorder="1" applyAlignment="1" applyProtection="1">
      <protection locked="0"/>
    </xf>
    <xf numFmtId="0" fontId="1" fillId="0" borderId="0" xfId="1" applyNumberFormat="1" applyFont="1" applyAlignment="1" applyProtection="1">
      <protection locked="0"/>
    </xf>
    <xf numFmtId="0" fontId="16" fillId="0" borderId="0" xfId="0" applyFont="1" applyProtection="1">
      <protection locked="0"/>
    </xf>
    <xf numFmtId="0" fontId="16" fillId="0" borderId="0" xfId="0" applyFont="1" applyBorder="1" applyProtection="1">
      <protection locked="0"/>
    </xf>
    <xf numFmtId="0" fontId="17" fillId="0" borderId="0" xfId="1" applyFont="1" applyAlignment="1" applyProtection="1">
      <protection locked="0"/>
    </xf>
    <xf numFmtId="0" fontId="1" fillId="0" borderId="0" xfId="1" applyFont="1" applyAlignment="1" applyProtection="1">
      <alignment horizontal="left"/>
      <protection locked="0"/>
    </xf>
    <xf numFmtId="0" fontId="2" fillId="0" borderId="0" xfId="1" applyFont="1" applyAlignment="1" applyProtection="1">
      <protection locked="0"/>
    </xf>
    <xf numFmtId="0" fontId="2" fillId="0" borderId="0" xfId="0" applyFont="1" applyProtection="1">
      <protection locked="0"/>
    </xf>
    <xf numFmtId="0" fontId="2" fillId="0" borderId="0" xfId="0" applyFont="1" applyBorder="1" applyProtection="1">
      <protection locked="0"/>
    </xf>
    <xf numFmtId="0" fontId="1" fillId="0" borderId="0" xfId="0" applyFont="1" applyBorder="1" applyProtection="1">
      <protection locked="0"/>
    </xf>
    <xf numFmtId="0" fontId="7" fillId="0" borderId="0" xfId="0" applyFont="1" applyProtection="1">
      <protection locked="0" hidden="1"/>
    </xf>
    <xf numFmtId="0" fontId="6" fillId="7" borderId="0" xfId="1" applyFont="1" applyFill="1" applyBorder="1" applyAlignment="1" applyProtection="1">
      <alignment vertical="center"/>
      <protection locked="0"/>
    </xf>
    <xf numFmtId="0" fontId="8" fillId="7" borderId="78" xfId="0" applyNumberFormat="1" applyFont="1" applyFill="1" applyBorder="1" applyAlignment="1">
      <alignment horizontal="center" vertical="center" wrapText="1"/>
    </xf>
    <xf numFmtId="0" fontId="8" fillId="7" borderId="7" xfId="0" applyNumberFormat="1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31" fillId="0" borderId="27" xfId="0" applyFont="1" applyBorder="1" applyAlignment="1">
      <alignment horizontal="center" vertical="center" wrapText="1"/>
    </xf>
    <xf numFmtId="0" fontId="8" fillId="7" borderId="70" xfId="0" applyNumberFormat="1" applyFont="1" applyFill="1" applyBorder="1" applyAlignment="1">
      <alignment horizontal="left" vertical="center" wrapText="1"/>
    </xf>
    <xf numFmtId="0" fontId="8" fillId="7" borderId="29" xfId="0" applyNumberFormat="1" applyFont="1" applyFill="1" applyBorder="1" applyAlignment="1">
      <alignment horizontal="left" vertical="center" wrapText="1"/>
    </xf>
    <xf numFmtId="0" fontId="8" fillId="7" borderId="70" xfId="0" applyNumberFormat="1" applyFont="1" applyFill="1" applyBorder="1" applyAlignment="1">
      <alignment horizontal="center" vertical="center" wrapText="1"/>
    </xf>
    <xf numFmtId="0" fontId="8" fillId="7" borderId="29" xfId="0" applyNumberFormat="1" applyFont="1" applyFill="1" applyBorder="1" applyAlignment="1">
      <alignment horizontal="center" vertical="center" wrapText="1"/>
    </xf>
    <xf numFmtId="0" fontId="8" fillId="7" borderId="76" xfId="0" applyNumberFormat="1" applyFont="1" applyFill="1" applyBorder="1" applyAlignment="1">
      <alignment horizontal="center" vertical="center" wrapText="1"/>
    </xf>
    <xf numFmtId="0" fontId="8" fillId="7" borderId="24" xfId="0" applyNumberFormat="1" applyFont="1" applyFill="1" applyBorder="1" applyAlignment="1">
      <alignment horizontal="center" vertical="center" wrapText="1"/>
    </xf>
    <xf numFmtId="0" fontId="8" fillId="0" borderId="28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left" vertical="center" wrapText="1"/>
    </xf>
    <xf numFmtId="14" fontId="8" fillId="7" borderId="76" xfId="0" applyNumberFormat="1" applyFont="1" applyFill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left" vertical="center"/>
    </xf>
    <xf numFmtId="0" fontId="8" fillId="0" borderId="29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6" fillId="7" borderId="27" xfId="1" applyFont="1" applyFill="1" applyBorder="1" applyAlignment="1" applyProtection="1">
      <alignment horizontal="center" vertical="center"/>
      <protection locked="0"/>
    </xf>
    <xf numFmtId="0" fontId="8" fillId="7" borderId="27" xfId="0" applyNumberFormat="1" applyFont="1" applyFill="1" applyBorder="1" applyAlignment="1">
      <alignment horizontal="left" vertical="center" wrapText="1"/>
    </xf>
    <xf numFmtId="0" fontId="1" fillId="0" borderId="0" xfId="1" applyFont="1" applyAlignment="1" applyProtection="1">
      <alignment horizontal="center" vertical="center" wrapText="1"/>
    </xf>
    <xf numFmtId="0" fontId="8" fillId="0" borderId="23" xfId="0" applyNumberFormat="1" applyFont="1" applyBorder="1" applyAlignment="1">
      <alignment horizontal="center" vertical="center" wrapText="1"/>
    </xf>
    <xf numFmtId="0" fontId="8" fillId="0" borderId="5" xfId="0" applyNumberFormat="1" applyFont="1" applyBorder="1" applyAlignment="1">
      <alignment horizontal="center" vertical="center" wrapText="1"/>
    </xf>
    <xf numFmtId="0" fontId="8" fillId="0" borderId="24" xfId="0" applyNumberFormat="1" applyFont="1" applyBorder="1" applyAlignment="1">
      <alignment horizontal="center" vertical="center" wrapText="1"/>
    </xf>
    <xf numFmtId="0" fontId="8" fillId="0" borderId="7" xfId="0" applyNumberFormat="1" applyFont="1" applyBorder="1" applyAlignment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</xf>
    <xf numFmtId="0" fontId="14" fillId="0" borderId="28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 wrapText="1"/>
    </xf>
    <xf numFmtId="0" fontId="8" fillId="0" borderId="17" xfId="1" applyFont="1" applyBorder="1" applyAlignment="1" applyProtection="1">
      <alignment horizontal="left" vertical="center" wrapText="1"/>
      <protection locked="0"/>
    </xf>
    <xf numFmtId="0" fontId="8" fillId="0" borderId="20" xfId="0" applyFont="1" applyBorder="1" applyAlignment="1" applyProtection="1">
      <alignment horizontal="left" vertical="center" wrapText="1"/>
      <protection locked="0"/>
    </xf>
    <xf numFmtId="0" fontId="8" fillId="0" borderId="21" xfId="1" applyFont="1" applyBorder="1" applyAlignment="1" applyProtection="1">
      <alignment horizontal="left" vertical="center" wrapText="1"/>
      <protection locked="0"/>
    </xf>
    <xf numFmtId="0" fontId="8" fillId="0" borderId="44" xfId="0" applyFont="1" applyBorder="1" applyAlignment="1" applyProtection="1">
      <alignment horizontal="left" vertical="center" wrapText="1"/>
      <protection locked="0"/>
    </xf>
    <xf numFmtId="0" fontId="8" fillId="0" borderId="57" xfId="1" applyFont="1" applyBorder="1" applyAlignment="1" applyProtection="1">
      <alignment horizontal="left" vertical="center" wrapText="1"/>
      <protection locked="0"/>
    </xf>
    <xf numFmtId="0" fontId="2" fillId="0" borderId="0" xfId="1" applyFont="1" applyAlignment="1" applyProtection="1">
      <alignment horizontal="left"/>
      <protection locked="0"/>
    </xf>
    <xf numFmtId="0" fontId="0" fillId="0" borderId="0" xfId="0" applyNumberFormat="1" applyAlignment="1" applyProtection="1">
      <alignment horizontal="center" vertical="center"/>
      <protection locked="0"/>
    </xf>
    <xf numFmtId="0" fontId="6" fillId="2" borderId="52" xfId="1" applyFont="1" applyFill="1" applyBorder="1" applyAlignment="1" applyProtection="1">
      <alignment horizontal="center" vertical="center"/>
      <protection locked="0"/>
    </xf>
    <xf numFmtId="0" fontId="6" fillId="2" borderId="53" xfId="1" applyFont="1" applyFill="1" applyBorder="1" applyAlignment="1" applyProtection="1">
      <alignment horizontal="center" vertical="center"/>
      <protection locked="0"/>
    </xf>
    <xf numFmtId="0" fontId="6" fillId="2" borderId="54" xfId="1" applyFont="1" applyFill="1" applyBorder="1" applyAlignment="1" applyProtection="1">
      <alignment horizontal="center" vertical="center"/>
      <protection locked="0"/>
    </xf>
    <xf numFmtId="0" fontId="1" fillId="0" borderId="0" xfId="1" applyFont="1" applyBorder="1" applyAlignment="1" applyProtection="1">
      <alignment horizontal="center" vertical="center" wrapText="1"/>
      <protection locked="0"/>
    </xf>
    <xf numFmtId="0" fontId="8" fillId="0" borderId="4" xfId="1" applyFont="1" applyBorder="1" applyAlignment="1" applyProtection="1">
      <alignment horizontal="left" vertical="center" wrapText="1"/>
      <protection locked="0"/>
    </xf>
    <xf numFmtId="0" fontId="4" fillId="0" borderId="52" xfId="1" applyFont="1" applyBorder="1" applyAlignment="1" applyProtection="1">
      <alignment horizontal="center" vertical="center"/>
      <protection locked="0"/>
    </xf>
    <xf numFmtId="0" fontId="4" fillId="0" borderId="53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0" fontId="7" fillId="0" borderId="52" xfId="0" applyFont="1" applyBorder="1" applyAlignment="1" applyProtection="1">
      <alignment horizontal="center" vertical="center"/>
      <protection locked="0"/>
    </xf>
    <xf numFmtId="0" fontId="7" fillId="0" borderId="53" xfId="0" applyFont="1" applyBorder="1" applyAlignment="1" applyProtection="1">
      <alignment horizontal="center" vertical="center"/>
      <protection locked="0"/>
    </xf>
    <xf numFmtId="0" fontId="7" fillId="0" borderId="54" xfId="0" applyFont="1" applyBorder="1" applyAlignment="1" applyProtection="1">
      <alignment horizontal="center" vertical="center"/>
      <protection locked="0"/>
    </xf>
    <xf numFmtId="0" fontId="0" fillId="0" borderId="0" xfId="0" applyNumberFormat="1" applyBorder="1" applyAlignment="1" applyProtection="1">
      <alignment horizontal="center" vertical="center"/>
      <protection locked="0"/>
    </xf>
    <xf numFmtId="0" fontId="4" fillId="0" borderId="0" xfId="0" applyFont="1" applyBorder="1" applyAlignment="1" applyProtection="1">
      <alignment horizontal="left" vertical="center" wrapText="1"/>
      <protection locked="0"/>
    </xf>
    <xf numFmtId="0" fontId="4" fillId="0" borderId="55" xfId="0" applyFont="1" applyBorder="1" applyAlignment="1" applyProtection="1">
      <alignment horizontal="center" vertical="center" wrapText="1"/>
      <protection locked="0"/>
    </xf>
    <xf numFmtId="0" fontId="4" fillId="0" borderId="56" xfId="0" applyFont="1" applyBorder="1" applyAlignment="1" applyProtection="1">
      <alignment horizontal="center" vertical="center" wrapText="1"/>
      <protection locked="0"/>
    </xf>
    <xf numFmtId="0" fontId="4" fillId="0" borderId="58" xfId="0" applyFont="1" applyBorder="1" applyAlignment="1" applyProtection="1">
      <alignment horizontal="center" vertical="center" wrapText="1"/>
      <protection locked="0"/>
    </xf>
    <xf numFmtId="0" fontId="10" fillId="0" borderId="0" xfId="0" applyNumberFormat="1" applyFont="1" applyBorder="1" applyAlignment="1" applyProtection="1">
      <alignment horizontal="center" vertical="center"/>
      <protection locked="0"/>
    </xf>
    <xf numFmtId="0" fontId="11" fillId="0" borderId="59" xfId="0" applyNumberFormat="1" applyFont="1" applyBorder="1" applyAlignment="1" applyProtection="1">
      <alignment horizontal="center" vertical="center" wrapText="1"/>
      <protection locked="0"/>
    </xf>
    <xf numFmtId="0" fontId="11" fillId="0" borderId="60" xfId="0" applyNumberFormat="1" applyFont="1" applyBorder="1" applyAlignment="1" applyProtection="1">
      <alignment horizontal="center" vertical="center" wrapText="1"/>
      <protection locked="0"/>
    </xf>
    <xf numFmtId="0" fontId="11" fillId="0" borderId="61" xfId="0" applyNumberFormat="1" applyFont="1" applyBorder="1" applyAlignment="1" applyProtection="1">
      <alignment horizontal="center" vertical="center" wrapText="1"/>
      <protection locked="0"/>
    </xf>
    <xf numFmtId="0" fontId="11" fillId="0" borderId="62" xfId="0" applyNumberFormat="1" applyFont="1" applyBorder="1" applyAlignment="1" applyProtection="1">
      <alignment horizontal="center" vertical="center" wrapText="1"/>
      <protection locked="0"/>
    </xf>
    <xf numFmtId="0" fontId="11" fillId="0" borderId="63" xfId="0" applyNumberFormat="1" applyFont="1" applyBorder="1" applyAlignment="1" applyProtection="1">
      <alignment horizontal="center" vertical="center" wrapText="1"/>
      <protection locked="0"/>
    </xf>
    <xf numFmtId="0" fontId="11" fillId="0" borderId="64" xfId="0" applyNumberFormat="1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4" fillId="0" borderId="44" xfId="0" applyFont="1" applyBorder="1" applyAlignment="1" applyProtection="1">
      <alignment horizontal="center" vertical="center" wrapText="1"/>
      <protection locked="0"/>
    </xf>
    <xf numFmtId="0" fontId="39" fillId="0" borderId="56" xfId="0" applyFont="1" applyBorder="1" applyAlignment="1" applyProtection="1">
      <alignment horizontal="center" vertical="center" wrapText="1"/>
      <protection locked="0"/>
    </xf>
    <xf numFmtId="0" fontId="39" fillId="0" borderId="58" xfId="0" applyFont="1" applyBorder="1" applyAlignment="1" applyProtection="1">
      <alignment horizontal="center" vertical="center" wrapText="1"/>
      <protection locked="0"/>
    </xf>
    <xf numFmtId="0" fontId="38" fillId="0" borderId="21" xfId="1" applyFont="1" applyBorder="1" applyAlignment="1" applyProtection="1">
      <alignment horizontal="left" vertical="center" wrapText="1"/>
      <protection locked="0"/>
    </xf>
    <xf numFmtId="0" fontId="38" fillId="0" borderId="44" xfId="0" applyFont="1" applyBorder="1" applyAlignment="1" applyProtection="1">
      <alignment horizontal="left" vertical="center" wrapText="1"/>
      <protection locked="0"/>
    </xf>
    <xf numFmtId="0" fontId="8" fillId="7" borderId="70" xfId="0" applyNumberFormat="1" applyFont="1" applyFill="1" applyBorder="1" applyAlignment="1" applyProtection="1">
      <alignment horizontal="left" vertical="center" wrapText="1"/>
      <protection locked="0"/>
    </xf>
    <xf numFmtId="0" fontId="8" fillId="7" borderId="29" xfId="0" applyNumberFormat="1" applyFont="1" applyFill="1" applyBorder="1" applyAlignment="1" applyProtection="1">
      <alignment horizontal="left" vertical="center" wrapText="1"/>
      <protection locked="0"/>
    </xf>
    <xf numFmtId="0" fontId="38" fillId="0" borderId="51" xfId="1" applyFont="1" applyBorder="1" applyAlignment="1" applyProtection="1">
      <alignment horizontal="left" vertical="center" wrapText="1"/>
      <protection locked="0"/>
    </xf>
    <xf numFmtId="0" fontId="38" fillId="0" borderId="3" xfId="1" applyFont="1" applyBorder="1" applyAlignment="1" applyProtection="1">
      <alignment horizontal="left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4" fillId="0" borderId="21" xfId="0" applyFont="1" applyBorder="1" applyAlignment="1" applyProtection="1">
      <alignment horizontal="center" vertical="center" wrapText="1"/>
      <protection locked="0"/>
    </xf>
    <xf numFmtId="0" fontId="39" fillId="0" borderId="51" xfId="0" applyFont="1" applyBorder="1" applyAlignment="1" applyProtection="1">
      <alignment horizontal="center" vertical="center" wrapText="1"/>
      <protection locked="0"/>
    </xf>
    <xf numFmtId="0" fontId="39" fillId="0" borderId="3" xfId="0" applyFont="1" applyBorder="1" applyAlignment="1" applyProtection="1">
      <alignment horizontal="center" vertical="center" wrapText="1"/>
      <protection locked="0"/>
    </xf>
    <xf numFmtId="0" fontId="18" fillId="0" borderId="0" xfId="0" applyFont="1" applyAlignment="1" applyProtection="1">
      <alignment horizontal="center" vertical="center"/>
      <protection locked="0"/>
    </xf>
    <xf numFmtId="0" fontId="6" fillId="0" borderId="0" xfId="1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center" vertical="center" wrapText="1"/>
      <protection locked="0"/>
    </xf>
    <xf numFmtId="0" fontId="24" fillId="0" borderId="28" xfId="0" applyFont="1" applyBorder="1" applyAlignment="1">
      <alignment horizontal="center" vertical="center" wrapText="1"/>
    </xf>
    <xf numFmtId="0" fontId="24" fillId="0" borderId="15" xfId="0" applyFont="1" applyBorder="1" applyAlignment="1">
      <alignment horizontal="center" vertical="center" wrapText="1"/>
    </xf>
    <xf numFmtId="0" fontId="1" fillId="0" borderId="27" xfId="1" applyFont="1" applyBorder="1" applyAlignment="1" applyProtection="1">
      <alignment horizontal="left" vertical="center" wrapText="1"/>
    </xf>
    <xf numFmtId="0" fontId="11" fillId="0" borderId="65" xfId="0" applyFont="1" applyBorder="1" applyAlignment="1">
      <alignment horizontal="left" vertical="center" wrapText="1"/>
    </xf>
    <xf numFmtId="0" fontId="1" fillId="0" borderId="27" xfId="1" applyFont="1" applyBorder="1" applyAlignment="1" applyProtection="1">
      <alignment horizontal="center" vertical="center" wrapText="1"/>
    </xf>
    <xf numFmtId="0" fontId="11" fillId="0" borderId="65" xfId="0" applyFont="1" applyBorder="1" applyAlignment="1">
      <alignment horizontal="center" vertical="center" wrapText="1"/>
    </xf>
    <xf numFmtId="0" fontId="1" fillId="0" borderId="29" xfId="1" applyFont="1" applyBorder="1" applyAlignment="1" applyProtection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49" fontId="11" fillId="0" borderId="29" xfId="0" applyNumberFormat="1" applyFont="1" applyBorder="1" applyAlignment="1">
      <alignment horizontal="center" vertical="center" wrapText="1"/>
    </xf>
    <xf numFmtId="49" fontId="8" fillId="0" borderId="29" xfId="0" applyNumberFormat="1" applyFont="1" applyBorder="1" applyAlignment="1">
      <alignment horizontal="center" vertical="center" wrapText="1"/>
    </xf>
    <xf numFmtId="49" fontId="8" fillId="0" borderId="27" xfId="0" applyNumberFormat="1" applyFont="1" applyBorder="1" applyAlignment="1">
      <alignment horizontal="center" vertical="center" wrapText="1"/>
    </xf>
    <xf numFmtId="0" fontId="25" fillId="0" borderId="66" xfId="0" applyFont="1" applyBorder="1" applyAlignment="1">
      <alignment horizontal="center" vertical="center" wrapText="1"/>
    </xf>
    <xf numFmtId="0" fontId="25" fillId="0" borderId="15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27" fillId="0" borderId="27" xfId="0" applyFont="1" applyBorder="1" applyAlignment="1">
      <alignment horizontal="center" vertical="center" wrapText="1"/>
    </xf>
    <xf numFmtId="0" fontId="1" fillId="0" borderId="67" xfId="1" applyFont="1" applyBorder="1" applyAlignment="1" applyProtection="1">
      <alignment horizontal="left" vertical="center" wrapText="1"/>
    </xf>
    <xf numFmtId="0" fontId="11" fillId="0" borderId="68" xfId="0" applyFont="1" applyBorder="1" applyAlignment="1">
      <alignment horizontal="left" vertical="center" wrapText="1"/>
    </xf>
    <xf numFmtId="0" fontId="1" fillId="0" borderId="68" xfId="1" applyFont="1" applyBorder="1" applyAlignment="1" applyProtection="1">
      <alignment horizontal="left" vertical="center" wrapText="1"/>
    </xf>
    <xf numFmtId="0" fontId="11" fillId="0" borderId="69" xfId="0" applyFont="1" applyBorder="1" applyAlignment="1">
      <alignment horizontal="left" vertical="center" wrapText="1"/>
    </xf>
    <xf numFmtId="0" fontId="8" fillId="0" borderId="15" xfId="0" applyFont="1" applyBorder="1" applyAlignment="1">
      <alignment horizontal="center" vertical="center" wrapText="1"/>
    </xf>
    <xf numFmtId="0" fontId="1" fillId="0" borderId="7" xfId="1" applyFont="1" applyBorder="1" applyAlignment="1" applyProtection="1">
      <alignment horizontal="left" vertical="center" wrapText="1"/>
    </xf>
    <xf numFmtId="49" fontId="11" fillId="0" borderId="71" xfId="0" applyNumberFormat="1" applyFont="1" applyBorder="1" applyAlignment="1">
      <alignment horizontal="center" vertical="center" wrapText="1"/>
    </xf>
    <xf numFmtId="49" fontId="8" fillId="0" borderId="71" xfId="0" applyNumberFormat="1" applyFont="1" applyBorder="1" applyAlignment="1">
      <alignment horizontal="center" vertical="center" wrapText="1"/>
    </xf>
    <xf numFmtId="0" fontId="8" fillId="0" borderId="71" xfId="0" applyFont="1" applyBorder="1" applyAlignment="1">
      <alignment horizontal="center" vertical="center" wrapText="1"/>
    </xf>
    <xf numFmtId="0" fontId="25" fillId="0" borderId="70" xfId="0" applyFont="1" applyBorder="1" applyAlignment="1">
      <alignment horizontal="center" vertical="center" wrapText="1"/>
    </xf>
    <xf numFmtId="0" fontId="27" fillId="0" borderId="71" xfId="0" applyFont="1" applyBorder="1" applyAlignment="1">
      <alignment horizontal="center" vertical="center" wrapText="1"/>
    </xf>
    <xf numFmtId="49" fontId="28" fillId="0" borderId="72" xfId="0" applyNumberFormat="1" applyFont="1" applyBorder="1" applyAlignment="1">
      <alignment horizontal="center" vertical="center" wrapText="1"/>
    </xf>
    <xf numFmtId="0" fontId="28" fillId="0" borderId="73" xfId="0" applyFont="1" applyBorder="1" applyAlignment="1">
      <alignment horizontal="center" vertical="center" wrapText="1"/>
    </xf>
    <xf numFmtId="0" fontId="25" fillId="0" borderId="29" xfId="0" applyFont="1" applyBorder="1" applyAlignment="1">
      <alignment horizontal="center" vertical="center" wrapText="1"/>
    </xf>
    <xf numFmtId="0" fontId="1" fillId="0" borderId="29" xfId="1" applyFont="1" applyBorder="1" applyAlignment="1" applyProtection="1">
      <alignment horizontal="left" vertical="center" wrapText="1"/>
    </xf>
    <xf numFmtId="0" fontId="11" fillId="0" borderId="27" xfId="0" applyFont="1" applyBorder="1" applyAlignment="1">
      <alignment horizontal="left" vertical="center" wrapText="1"/>
    </xf>
    <xf numFmtId="0" fontId="11" fillId="0" borderId="71" xfId="0" applyFont="1" applyBorder="1" applyAlignment="1">
      <alignment horizontal="center" vertical="center" wrapText="1"/>
    </xf>
    <xf numFmtId="0" fontId="29" fillId="0" borderId="67" xfId="0" applyFont="1" applyBorder="1" applyAlignment="1">
      <alignment horizontal="center" vertical="center" wrapText="1"/>
    </xf>
    <xf numFmtId="0" fontId="29" fillId="0" borderId="69" xfId="0" applyFont="1" applyBorder="1" applyAlignment="1">
      <alignment horizontal="center" vertical="center" wrapText="1"/>
    </xf>
    <xf numFmtId="0" fontId="28" fillId="0" borderId="71" xfId="0" applyFont="1" applyBorder="1" applyAlignment="1">
      <alignment horizontal="center" vertical="center" wrapText="1"/>
    </xf>
    <xf numFmtId="0" fontId="28" fillId="0" borderId="65" xfId="0" applyFont="1" applyBorder="1" applyAlignment="1">
      <alignment horizontal="center" vertical="center" wrapText="1"/>
    </xf>
    <xf numFmtId="0" fontId="8" fillId="0" borderId="65" xfId="0" applyFont="1" applyBorder="1" applyAlignment="1">
      <alignment horizontal="center" vertical="center" wrapText="1"/>
    </xf>
    <xf numFmtId="49" fontId="28" fillId="0" borderId="70" xfId="0" applyNumberFormat="1" applyFont="1" applyBorder="1" applyAlignment="1">
      <alignment horizontal="center" vertical="center" wrapText="1"/>
    </xf>
    <xf numFmtId="49" fontId="28" fillId="0" borderId="15" xfId="0" applyNumberFormat="1" applyFont="1" applyBorder="1" applyAlignment="1">
      <alignment horizontal="center" vertical="center" wrapText="1"/>
    </xf>
    <xf numFmtId="0" fontId="28" fillId="0" borderId="70" xfId="0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8" fillId="0" borderId="74" xfId="0" applyFont="1" applyBorder="1" applyAlignment="1">
      <alignment horizontal="center" vertical="center" wrapText="1"/>
    </xf>
    <xf numFmtId="0" fontId="8" fillId="0" borderId="75" xfId="0" applyFont="1" applyBorder="1" applyAlignment="1">
      <alignment horizontal="center" vertical="center" wrapText="1"/>
    </xf>
    <xf numFmtId="0" fontId="28" fillId="0" borderId="76" xfId="0" applyFont="1" applyBorder="1" applyAlignment="1">
      <alignment horizontal="center" vertical="center" wrapText="1"/>
    </xf>
    <xf numFmtId="0" fontId="28" fillId="0" borderId="78" xfId="0" applyFont="1" applyBorder="1" applyAlignment="1">
      <alignment horizontal="center" vertical="center" wrapText="1"/>
    </xf>
    <xf numFmtId="0" fontId="28" fillId="0" borderId="77" xfId="0" applyFont="1" applyBorder="1" applyAlignment="1">
      <alignment horizontal="center" vertical="center" wrapText="1"/>
    </xf>
    <xf numFmtId="0" fontId="28" fillId="0" borderId="79" xfId="0" applyFont="1" applyBorder="1" applyAlignment="1">
      <alignment horizontal="center" vertical="center" wrapText="1"/>
    </xf>
    <xf numFmtId="0" fontId="8" fillId="0" borderId="76" xfId="0" applyFont="1" applyBorder="1" applyAlignment="1">
      <alignment horizontal="center" vertical="center" wrapText="1"/>
    </xf>
    <xf numFmtId="0" fontId="8" fillId="0" borderId="78" xfId="0" applyFont="1" applyBorder="1" applyAlignment="1">
      <alignment horizontal="center" vertical="center" wrapText="1"/>
    </xf>
    <xf numFmtId="0" fontId="8" fillId="0" borderId="77" xfId="0" applyFont="1" applyBorder="1" applyAlignment="1">
      <alignment horizontal="center" vertical="center" wrapText="1"/>
    </xf>
    <xf numFmtId="0" fontId="8" fillId="0" borderId="79" xfId="0" applyFont="1" applyBorder="1" applyAlignment="1">
      <alignment horizontal="center" vertical="center" wrapText="1"/>
    </xf>
    <xf numFmtId="0" fontId="16" fillId="0" borderId="0" xfId="0" applyFont="1" applyAlignment="1">
      <alignment horizontal="center"/>
    </xf>
    <xf numFmtId="0" fontId="1" fillId="0" borderId="71" xfId="1" applyFont="1" applyBorder="1" applyAlignment="1" applyProtection="1">
      <alignment horizontal="center" vertical="center" wrapText="1"/>
    </xf>
    <xf numFmtId="0" fontId="16" fillId="0" borderId="70" xfId="0" applyFont="1" applyBorder="1" applyAlignment="1">
      <alignment horizontal="center" vertical="center" wrapText="1"/>
    </xf>
    <xf numFmtId="0" fontId="16" fillId="0" borderId="66" xfId="0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 wrapText="1"/>
    </xf>
    <xf numFmtId="49" fontId="27" fillId="0" borderId="71" xfId="0" applyNumberFormat="1" applyFont="1" applyBorder="1" applyAlignment="1">
      <alignment horizontal="center" vertical="center" wrapText="1"/>
    </xf>
    <xf numFmtId="49" fontId="24" fillId="0" borderId="28" xfId="0" applyNumberFormat="1" applyFont="1" applyBorder="1" applyAlignment="1">
      <alignment horizontal="center" vertical="center" wrapText="1"/>
    </xf>
    <xf numFmtId="0" fontId="1" fillId="0" borderId="71" xfId="1" applyFont="1" applyBorder="1" applyAlignment="1" applyProtection="1">
      <alignment horizontal="left" vertical="center" wrapText="1"/>
    </xf>
    <xf numFmtId="49" fontId="26" fillId="0" borderId="71" xfId="0" applyNumberFormat="1" applyFont="1" applyBorder="1" applyAlignment="1">
      <alignment horizontal="center" vertical="center" wrapText="1"/>
    </xf>
    <xf numFmtId="0" fontId="26" fillId="0" borderId="27" xfId="0" applyFont="1" applyBorder="1" applyAlignment="1">
      <alignment horizontal="center" vertical="center" wrapText="1"/>
    </xf>
    <xf numFmtId="49" fontId="26" fillId="0" borderId="27" xfId="0" applyNumberFormat="1" applyFont="1" applyBorder="1" applyAlignment="1">
      <alignment horizontal="center" vertical="center" wrapText="1"/>
    </xf>
    <xf numFmtId="0" fontId="26" fillId="0" borderId="65" xfId="0" applyFont="1" applyBorder="1" applyAlignment="1">
      <alignment horizontal="center" vertical="center" wrapText="1"/>
    </xf>
    <xf numFmtId="0" fontId="25" fillId="0" borderId="76" xfId="0" applyFont="1" applyBorder="1" applyAlignment="1">
      <alignment horizontal="center" vertical="center" wrapText="1"/>
    </xf>
    <xf numFmtId="0" fontId="25" fillId="0" borderId="8" xfId="0" applyFont="1" applyBorder="1" applyAlignment="1">
      <alignment horizontal="center" vertical="center" wrapText="1"/>
    </xf>
    <xf numFmtId="0" fontId="25" fillId="0" borderId="77" xfId="0" applyFont="1" applyBorder="1" applyAlignment="1">
      <alignment horizontal="center" vertical="center" wrapText="1"/>
    </xf>
    <xf numFmtId="49" fontId="11" fillId="0" borderId="27" xfId="0" applyNumberFormat="1" applyFont="1" applyBorder="1" applyAlignment="1">
      <alignment horizontal="center"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71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9" fillId="0" borderId="71" xfId="0" applyFont="1" applyBorder="1" applyAlignment="1">
      <alignment horizontal="center" vertical="center" wrapText="1"/>
    </xf>
    <xf numFmtId="0" fontId="29" fillId="0" borderId="65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16" fillId="0" borderId="0" xfId="1" applyFont="1" applyAlignment="1" applyProtection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9" fillId="0" borderId="67" xfId="0" applyNumberFormat="1" applyFont="1" applyBorder="1" applyAlignment="1">
      <alignment horizontal="center" vertical="center" wrapText="1"/>
    </xf>
    <xf numFmtId="0" fontId="29" fillId="0" borderId="69" xfId="0" applyNumberFormat="1" applyFont="1" applyBorder="1" applyAlignment="1">
      <alignment horizontal="center" vertical="center" wrapText="1"/>
    </xf>
    <xf numFmtId="49" fontId="27" fillId="0" borderId="29" xfId="0" applyNumberFormat="1" applyFont="1" applyBorder="1" applyAlignment="1">
      <alignment horizontal="center" vertical="center" wrapText="1"/>
    </xf>
    <xf numFmtId="0" fontId="27" fillId="0" borderId="27" xfId="0" applyNumberFormat="1" applyFont="1" applyBorder="1" applyAlignment="1">
      <alignment horizontal="center" vertical="center" wrapText="1"/>
    </xf>
    <xf numFmtId="0" fontId="24" fillId="0" borderId="15" xfId="0" applyNumberFormat="1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27" xfId="1" applyFont="1" applyFill="1" applyBorder="1" applyAlignment="1" applyProtection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8" fillId="0" borderId="27" xfId="1" applyFont="1" applyFill="1" applyBorder="1" applyAlignment="1" applyProtection="1">
      <alignment horizontal="left" vertical="center" wrapText="1"/>
    </xf>
    <xf numFmtId="0" fontId="8" fillId="5" borderId="27" xfId="0" applyFont="1" applyFill="1" applyBorder="1" applyAlignment="1">
      <alignment horizontal="center" vertical="center" wrapText="1"/>
    </xf>
    <xf numFmtId="0" fontId="8" fillId="0" borderId="28" xfId="1" applyFont="1" applyFill="1" applyBorder="1" applyAlignment="1" applyProtection="1">
      <alignment horizontal="left" vertical="center" wrapText="1"/>
    </xf>
    <xf numFmtId="0" fontId="8" fillId="0" borderId="29" xfId="1" applyFont="1" applyFill="1" applyBorder="1" applyAlignment="1" applyProtection="1">
      <alignment horizontal="left" vertical="center" wrapText="1"/>
    </xf>
    <xf numFmtId="0" fontId="8" fillId="0" borderId="23" xfId="1" applyFont="1" applyFill="1" applyBorder="1" applyAlignment="1" applyProtection="1">
      <alignment horizontal="center" vertical="center" wrapText="1"/>
    </xf>
    <xf numFmtId="0" fontId="8" fillId="0" borderId="8" xfId="1" applyFont="1" applyFill="1" applyBorder="1" applyAlignment="1" applyProtection="1">
      <alignment horizontal="center" vertical="center" wrapText="1"/>
    </xf>
    <xf numFmtId="0" fontId="17" fillId="0" borderId="80" xfId="1" applyFont="1" applyBorder="1" applyAlignment="1" applyProtection="1">
      <alignment horizontal="center" vertical="center"/>
    </xf>
    <xf numFmtId="0" fontId="17" fillId="0" borderId="0" xfId="1" applyFont="1" applyBorder="1" applyAlignment="1" applyProtection="1">
      <alignment horizontal="center" vertical="center"/>
    </xf>
    <xf numFmtId="0" fontId="8" fillId="0" borderId="24" xfId="1" applyFont="1" applyFill="1" applyBorder="1" applyAlignment="1" applyProtection="1">
      <alignment horizontal="center" vertical="center" wrapText="1"/>
    </xf>
    <xf numFmtId="0" fontId="11" fillId="0" borderId="68" xfId="0" applyFont="1" applyBorder="1" applyAlignment="1">
      <alignment horizontal="center" vertical="center" wrapText="1"/>
    </xf>
    <xf numFmtId="0" fontId="8" fillId="0" borderId="57" xfId="0" applyNumberFormat="1" applyFont="1" applyBorder="1" applyAlignment="1">
      <alignment horizontal="left" vertical="center" wrapText="1"/>
    </xf>
    <xf numFmtId="0" fontId="8" fillId="0" borderId="21" xfId="0" applyNumberFormat="1" applyFont="1" applyBorder="1" applyAlignment="1">
      <alignment horizontal="left" vertical="center" wrapText="1"/>
    </xf>
    <xf numFmtId="0" fontId="8" fillId="0" borderId="81" xfId="0" applyNumberFormat="1" applyFont="1" applyBorder="1" applyAlignment="1">
      <alignment horizontal="center" vertical="center" wrapText="1"/>
    </xf>
    <xf numFmtId="0" fontId="8" fillId="0" borderId="19" xfId="0" applyNumberFormat="1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30" fillId="0" borderId="10" xfId="0" applyFont="1" applyBorder="1" applyAlignment="1">
      <alignment horizontal="center" vertical="center" wrapText="1"/>
    </xf>
    <xf numFmtId="0" fontId="8" fillId="0" borderId="51" xfId="0" applyNumberFormat="1" applyFont="1" applyBorder="1" applyAlignment="1">
      <alignment horizontal="left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32" fillId="0" borderId="35" xfId="0" applyFont="1" applyBorder="1" applyAlignment="1">
      <alignment horizontal="center" vertical="center" wrapText="1"/>
    </xf>
    <xf numFmtId="0" fontId="32" fillId="0" borderId="9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8" fillId="0" borderId="6" xfId="0" applyNumberFormat="1" applyFont="1" applyBorder="1" applyAlignment="1">
      <alignment horizontal="center" vertical="center" wrapText="1"/>
    </xf>
    <xf numFmtId="49" fontId="11" fillId="0" borderId="20" xfId="0" applyNumberFormat="1" applyFont="1" applyBorder="1" applyAlignment="1">
      <alignment horizontal="center" vertical="center" wrapText="1"/>
    </xf>
    <xf numFmtId="0" fontId="8" fillId="0" borderId="68" xfId="0" applyNumberFormat="1" applyFont="1" applyBorder="1" applyAlignment="1">
      <alignment horizontal="center" vertical="center" wrapText="1"/>
    </xf>
    <xf numFmtId="0" fontId="8" fillId="0" borderId="28" xfId="0" applyNumberFormat="1" applyFont="1" applyBorder="1" applyAlignment="1">
      <alignment horizontal="center" vertical="center" wrapText="1"/>
    </xf>
    <xf numFmtId="0" fontId="8" fillId="0" borderId="29" xfId="0" applyNumberFormat="1" applyFont="1" applyBorder="1" applyAlignment="1">
      <alignment horizontal="center" vertical="center" wrapText="1"/>
    </xf>
    <xf numFmtId="49" fontId="11" fillId="0" borderId="44" xfId="0" applyNumberFormat="1" applyFont="1" applyBorder="1" applyAlignment="1">
      <alignment horizontal="center" vertical="center" wrapText="1"/>
    </xf>
    <xf numFmtId="0" fontId="30" fillId="0" borderId="20" xfId="0" applyFont="1" applyBorder="1" applyAlignment="1">
      <alignment horizontal="center" vertical="center" wrapText="1"/>
    </xf>
    <xf numFmtId="0" fontId="30" fillId="0" borderId="44" xfId="0" applyFont="1" applyBorder="1" applyAlignment="1">
      <alignment horizontal="center" vertical="center" wrapText="1"/>
    </xf>
    <xf numFmtId="0" fontId="8" fillId="0" borderId="3" xfId="0" applyNumberFormat="1" applyFont="1" applyBorder="1" applyAlignment="1">
      <alignment horizontal="left" vertical="center" wrapText="1"/>
    </xf>
    <xf numFmtId="0" fontId="8" fillId="0" borderId="14" xfId="0" applyNumberFormat="1" applyFont="1" applyBorder="1" applyAlignment="1">
      <alignment horizontal="center" vertical="center" wrapText="1"/>
    </xf>
    <xf numFmtId="0" fontId="8" fillId="0" borderId="77" xfId="1" applyFont="1" applyFill="1" applyBorder="1" applyAlignment="1" applyProtection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8" fillId="0" borderId="82" xfId="0" applyNumberFormat="1" applyFont="1" applyBorder="1" applyAlignment="1">
      <alignment horizontal="left" vertical="center" wrapText="1"/>
    </xf>
    <xf numFmtId="0" fontId="8" fillId="0" borderId="25" xfId="0" applyNumberFormat="1" applyFont="1" applyBorder="1" applyAlignment="1">
      <alignment horizontal="left" vertical="center" wrapText="1"/>
    </xf>
    <xf numFmtId="0" fontId="8" fillId="0" borderId="83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84" xfId="0" applyNumberFormat="1" applyFont="1" applyBorder="1" applyAlignment="1">
      <alignment horizontal="left" vertical="center" wrapText="1"/>
    </xf>
    <xf numFmtId="0" fontId="8" fillId="0" borderId="70" xfId="0" applyFont="1" applyBorder="1" applyAlignment="1">
      <alignment horizontal="center" vertical="center" wrapText="1"/>
    </xf>
    <xf numFmtId="0" fontId="8" fillId="0" borderId="67" xfId="0" applyNumberFormat="1" applyFont="1" applyBorder="1" applyAlignment="1">
      <alignment horizontal="center" vertical="center" wrapText="1"/>
    </xf>
    <xf numFmtId="0" fontId="8" fillId="0" borderId="16" xfId="0" applyNumberFormat="1" applyFont="1" applyBorder="1" applyAlignment="1">
      <alignment horizontal="left" vertical="center" wrapText="1"/>
    </xf>
    <xf numFmtId="0" fontId="17" fillId="2" borderId="52" xfId="1" applyFont="1" applyFill="1" applyBorder="1" applyAlignment="1" applyProtection="1">
      <alignment horizontal="center" vertical="center" wrapText="1"/>
    </xf>
    <xf numFmtId="0" fontId="17" fillId="2" borderId="53" xfId="1" applyFont="1" applyFill="1" applyBorder="1" applyAlignment="1" applyProtection="1">
      <alignment horizontal="center" vertical="center" wrapText="1"/>
    </xf>
    <xf numFmtId="0" fontId="17" fillId="2" borderId="54" xfId="1" applyFont="1" applyFill="1" applyBorder="1" applyAlignment="1" applyProtection="1">
      <alignment horizontal="center" vertical="center" wrapText="1"/>
    </xf>
    <xf numFmtId="0" fontId="7" fillId="0" borderId="9" xfId="1" applyFont="1" applyBorder="1" applyAlignment="1" applyProtection="1">
      <alignment horizontal="center" vertical="center"/>
    </xf>
    <xf numFmtId="0" fontId="8" fillId="0" borderId="66" xfId="0" applyNumberFormat="1" applyFont="1" applyBorder="1" applyAlignment="1">
      <alignment horizontal="center" vertical="center" wrapText="1"/>
    </xf>
    <xf numFmtId="0" fontId="8" fillId="0" borderId="76" xfId="1" applyFont="1" applyFill="1" applyBorder="1" applyAlignment="1" applyProtection="1">
      <alignment horizontal="center" vertical="center" wrapText="1"/>
    </xf>
    <xf numFmtId="0" fontId="8" fillId="0" borderId="69" xfId="0" applyNumberFormat="1" applyFont="1" applyBorder="1" applyAlignment="1">
      <alignment horizontal="center" vertical="center" wrapText="1"/>
    </xf>
    <xf numFmtId="0" fontId="8" fillId="0" borderId="15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horizontal="center"/>
    </xf>
    <xf numFmtId="0" fontId="3" fillId="3" borderId="22" xfId="0" applyFont="1" applyFill="1" applyBorder="1" applyAlignment="1" applyProtection="1">
      <alignment horizontal="center" vertical="center"/>
      <protection locked="0" hidden="1"/>
    </xf>
    <xf numFmtId="0" fontId="3" fillId="3" borderId="85" xfId="0" applyFont="1" applyFill="1" applyBorder="1" applyAlignment="1" applyProtection="1">
      <alignment horizontal="center" vertical="center"/>
      <protection locked="0" hidden="1"/>
    </xf>
    <xf numFmtId="0" fontId="3" fillId="3" borderId="86" xfId="0" applyFont="1" applyFill="1" applyBorder="1" applyAlignment="1" applyProtection="1">
      <alignment horizontal="center" vertical="center"/>
      <protection locked="0" hidden="1"/>
    </xf>
    <xf numFmtId="0" fontId="35" fillId="0" borderId="4" xfId="0" applyFont="1" applyBorder="1" applyAlignment="1" applyProtection="1">
      <alignment horizontal="center" vertical="center" textRotation="90" wrapText="1"/>
    </xf>
    <xf numFmtId="0" fontId="35" fillId="0" borderId="3" xfId="0" applyFont="1" applyBorder="1" applyAlignment="1" applyProtection="1">
      <alignment horizontal="center" vertical="center" textRotation="90" wrapText="1"/>
    </xf>
    <xf numFmtId="0" fontId="35" fillId="0" borderId="4" xfId="0" applyFont="1" applyBorder="1" applyAlignment="1" applyProtection="1">
      <alignment horizontal="center" vertical="center" wrapText="1"/>
    </xf>
    <xf numFmtId="0" fontId="35" fillId="0" borderId="3" xfId="0" applyFont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center"/>
    </xf>
    <xf numFmtId="0" fontId="35" fillId="0" borderId="4" xfId="0" applyFont="1" applyBorder="1" applyAlignment="1" applyProtection="1">
      <alignment vertical="center" textRotation="90" wrapText="1"/>
    </xf>
    <xf numFmtId="0" fontId="35" fillId="0" borderId="3" xfId="0" applyFont="1" applyBorder="1" applyAlignment="1" applyProtection="1">
      <alignment vertical="center" textRotation="90" wrapText="1"/>
    </xf>
    <xf numFmtId="0" fontId="4" fillId="0" borderId="56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wrapText="1"/>
    </xf>
    <xf numFmtId="0" fontId="8" fillId="0" borderId="21" xfId="1" applyFont="1" applyBorder="1" applyAlignment="1" applyProtection="1">
      <alignment horizontal="left" vertical="center" wrapText="1"/>
    </xf>
    <xf numFmtId="0" fontId="8" fillId="0" borderId="44" xfId="0" applyFont="1" applyBorder="1" applyAlignment="1">
      <alignment horizontal="left" vertical="center" wrapText="1"/>
    </xf>
    <xf numFmtId="0" fontId="8" fillId="0" borderId="36" xfId="1" applyFont="1" applyBorder="1" applyAlignment="1" applyProtection="1">
      <alignment horizontal="left" vertical="center" wrapText="1"/>
    </xf>
    <xf numFmtId="0" fontId="8" fillId="0" borderId="58" xfId="0" applyFont="1" applyBorder="1" applyAlignment="1">
      <alignment horizontal="left" vertical="center" wrapText="1"/>
    </xf>
    <xf numFmtId="0" fontId="8" fillId="0" borderId="20" xfId="1" applyFont="1" applyBorder="1" applyAlignment="1" applyProtection="1">
      <alignment horizontal="left" vertical="center" wrapText="1"/>
    </xf>
    <xf numFmtId="0" fontId="4" fillId="0" borderId="0" xfId="0" applyFont="1" applyBorder="1" applyAlignment="1">
      <alignment horizontal="left" vertical="center" wrapText="1"/>
    </xf>
    <xf numFmtId="0" fontId="1" fillId="0" borderId="0" xfId="1" applyFont="1" applyBorder="1" applyAlignment="1" applyProtection="1">
      <alignment horizontal="center" vertical="center" wrapText="1"/>
    </xf>
    <xf numFmtId="0" fontId="4" fillId="0" borderId="55" xfId="0" applyFont="1" applyBorder="1" applyAlignment="1">
      <alignment horizontal="center" vertical="center" wrapText="1"/>
    </xf>
    <xf numFmtId="0" fontId="8" fillId="0" borderId="17" xfId="1" applyFont="1" applyBorder="1" applyAlignment="1" applyProtection="1">
      <alignment horizontal="left" vertical="center" wrapText="1"/>
    </xf>
    <xf numFmtId="0" fontId="8" fillId="0" borderId="20" xfId="0" applyFont="1" applyBorder="1" applyAlignment="1">
      <alignment horizontal="left" vertical="center" wrapText="1"/>
    </xf>
    <xf numFmtId="0" fontId="8" fillId="0" borderId="55" xfId="1" applyFont="1" applyBorder="1" applyAlignment="1" applyProtection="1">
      <alignment horizontal="left" vertical="center" wrapText="1"/>
    </xf>
    <xf numFmtId="0" fontId="8" fillId="0" borderId="56" xfId="0" applyFont="1" applyBorder="1" applyAlignment="1">
      <alignment horizontal="left" vertical="center" wrapText="1"/>
    </xf>
    <xf numFmtId="49" fontId="10" fillId="0" borderId="0" xfId="0" applyNumberFormat="1" applyFont="1" applyBorder="1" applyAlignment="1">
      <alignment horizontal="center" vertical="center"/>
    </xf>
    <xf numFmtId="0" fontId="8" fillId="0" borderId="44" xfId="1" applyFont="1" applyBorder="1" applyAlignment="1" applyProtection="1">
      <alignment horizontal="left" vertical="center" wrapText="1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1" fillId="0" borderId="35" xfId="1" applyFont="1" applyBorder="1" applyAlignment="1" applyProtection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21" fillId="5" borderId="52" xfId="1" applyFont="1" applyFill="1" applyBorder="1" applyAlignment="1" applyProtection="1">
      <alignment horizontal="center" vertical="center"/>
    </xf>
    <xf numFmtId="0" fontId="21" fillId="5" borderId="53" xfId="1" applyFont="1" applyFill="1" applyBorder="1" applyAlignment="1" applyProtection="1">
      <alignment horizontal="center" vertical="center"/>
    </xf>
    <xf numFmtId="0" fontId="21" fillId="5" borderId="54" xfId="1" applyFont="1" applyFill="1" applyBorder="1" applyAlignment="1" applyProtection="1">
      <alignment horizontal="center" vertical="center"/>
    </xf>
    <xf numFmtId="0" fontId="22" fillId="4" borderId="34" xfId="0" applyFont="1" applyFill="1" applyBorder="1" applyAlignment="1">
      <alignment horizontal="center" vertical="center"/>
    </xf>
    <xf numFmtId="0" fontId="22" fillId="4" borderId="80" xfId="0" applyFont="1" applyFill="1" applyBorder="1" applyAlignment="1">
      <alignment horizontal="center" vertical="center"/>
    </xf>
    <xf numFmtId="0" fontId="22" fillId="4" borderId="33" xfId="0" applyFont="1" applyFill="1" applyBorder="1" applyAlignment="1">
      <alignment horizontal="center" vertical="center"/>
    </xf>
    <xf numFmtId="0" fontId="33" fillId="0" borderId="11" xfId="0" applyFont="1" applyBorder="1" applyAlignment="1">
      <alignment horizontal="center" vertical="center" wrapText="1"/>
    </xf>
    <xf numFmtId="0" fontId="33" fillId="0" borderId="87" xfId="0" applyFont="1" applyBorder="1" applyAlignment="1">
      <alignment horizontal="center" vertical="center" wrapText="1"/>
    </xf>
    <xf numFmtId="0" fontId="19" fillId="0" borderId="0" xfId="0" applyFont="1" applyBorder="1" applyAlignment="1">
      <alignment horizontal="center" vertical="center" wrapText="1"/>
    </xf>
    <xf numFmtId="0" fontId="19" fillId="0" borderId="9" xfId="0" applyFont="1" applyBorder="1" applyAlignment="1">
      <alignment horizontal="center" vertical="center" wrapText="1"/>
    </xf>
    <xf numFmtId="0" fontId="19" fillId="0" borderId="87" xfId="0" applyFont="1" applyBorder="1" applyAlignment="1">
      <alignment horizontal="center" vertical="center" wrapText="1"/>
    </xf>
    <xf numFmtId="0" fontId="19" fillId="0" borderId="12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left" vertical="center" wrapText="1"/>
    </xf>
    <xf numFmtId="0" fontId="23" fillId="0" borderId="0" xfId="0" applyFont="1" applyBorder="1" applyAlignment="1">
      <alignment horizontal="left" vertical="center" wrapText="1"/>
    </xf>
    <xf numFmtId="0" fontId="19" fillId="0" borderId="34" xfId="0" applyFont="1" applyBorder="1" applyAlignment="1">
      <alignment horizontal="center" vertical="center" wrapText="1"/>
    </xf>
    <xf numFmtId="0" fontId="19" fillId="0" borderId="35" xfId="0" applyFont="1" applyBorder="1" applyAlignment="1">
      <alignment horizontal="center" vertical="center" wrapText="1"/>
    </xf>
    <xf numFmtId="0" fontId="19" fillId="0" borderId="11" xfId="0" applyFont="1" applyBorder="1" applyAlignment="1">
      <alignment horizontal="center" vertical="center" wrapText="1"/>
    </xf>
    <xf numFmtId="0" fontId="19" fillId="0" borderId="33" xfId="0" applyFont="1" applyBorder="1" applyAlignment="1">
      <alignment horizontal="center" vertical="center" wrapText="1"/>
    </xf>
    <xf numFmtId="0" fontId="22" fillId="6" borderId="34" xfId="0" applyFont="1" applyFill="1" applyBorder="1" applyAlignment="1">
      <alignment horizontal="center" vertical="center"/>
    </xf>
    <xf numFmtId="0" fontId="22" fillId="6" borderId="80" xfId="0" applyFont="1" applyFill="1" applyBorder="1" applyAlignment="1">
      <alignment horizontal="center" vertical="center"/>
    </xf>
    <xf numFmtId="0" fontId="22" fillId="6" borderId="33" xfId="0" applyFont="1" applyFill="1" applyBorder="1" applyAlignment="1">
      <alignment horizontal="center" vertical="center"/>
    </xf>
    <xf numFmtId="0" fontId="22" fillId="5" borderId="34" xfId="0" applyFont="1" applyFill="1" applyBorder="1" applyAlignment="1">
      <alignment horizontal="center" vertical="center"/>
    </xf>
    <xf numFmtId="0" fontId="22" fillId="5" borderId="80" xfId="0" applyFont="1" applyFill="1" applyBorder="1" applyAlignment="1">
      <alignment horizontal="center" vertical="center"/>
    </xf>
    <xf numFmtId="0" fontId="22" fillId="5" borderId="33" xfId="0" applyFont="1" applyFill="1" applyBorder="1" applyAlignment="1">
      <alignment horizontal="center" vertical="center"/>
    </xf>
    <xf numFmtId="0" fontId="6" fillId="0" borderId="0" xfId="0" applyNumberFormat="1" applyFont="1" applyBorder="1" applyAlignment="1" applyProtection="1">
      <protection locked="0"/>
    </xf>
    <xf numFmtId="0" fontId="8" fillId="0" borderId="17" xfId="1" applyFont="1" applyBorder="1" applyAlignment="1" applyProtection="1">
      <alignment horizontal="center" vertical="center" wrapText="1"/>
      <protection locked="0"/>
    </xf>
    <xf numFmtId="0" fontId="7" fillId="0" borderId="0" xfId="0" applyFont="1" applyProtection="1"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6" fillId="0" borderId="0" xfId="0" applyNumberFormat="1" applyFont="1" applyAlignment="1" applyProtection="1">
      <alignment horizontal="center" vertical="center"/>
      <protection locked="0"/>
    </xf>
    <xf numFmtId="49" fontId="7" fillId="0" borderId="0" xfId="0" applyNumberFormat="1" applyFont="1" applyBorder="1" applyAlignment="1" applyProtection="1">
      <alignment horizontal="left" vertical="center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0" fontId="6" fillId="0" borderId="0" xfId="0" applyFont="1" applyBorder="1" applyProtection="1">
      <protection locked="0"/>
    </xf>
    <xf numFmtId="0" fontId="8" fillId="0" borderId="21" xfId="1" applyFont="1" applyBorder="1" applyAlignment="1" applyProtection="1">
      <alignment horizontal="center" vertical="center" wrapText="1"/>
      <protection locked="0"/>
    </xf>
    <xf numFmtId="49" fontId="7" fillId="0" borderId="5" xfId="0" applyNumberFormat="1" applyFont="1" applyBorder="1" applyAlignment="1" applyProtection="1">
      <alignment horizontal="center" vertical="center"/>
      <protection locked="0"/>
    </xf>
    <xf numFmtId="0" fontId="7" fillId="0" borderId="0" xfId="0" applyNumberFormat="1" applyFont="1" applyAlignment="1" applyProtection="1">
      <alignment horizontal="left" vertical="center"/>
      <protection locked="0"/>
    </xf>
    <xf numFmtId="0" fontId="8" fillId="0" borderId="44" xfId="0" applyFont="1" applyBorder="1" applyAlignment="1" applyProtection="1">
      <alignment horizontal="center" vertical="center" wrapText="1"/>
      <protection locked="0"/>
    </xf>
    <xf numFmtId="49" fontId="6" fillId="0" borderId="6" xfId="0" applyNumberFormat="1" applyFont="1" applyBorder="1" applyAlignment="1" applyProtection="1">
      <alignment horizontal="center" vertical="center"/>
      <protection locked="0"/>
    </xf>
    <xf numFmtId="0" fontId="7" fillId="0" borderId="0" xfId="0" applyNumberFormat="1" applyFont="1" applyBorder="1" applyAlignment="1" applyProtection="1">
      <alignment horizontal="left" vertical="center"/>
      <protection locked="0"/>
    </xf>
    <xf numFmtId="0" fontId="8" fillId="0" borderId="0" xfId="1" applyFont="1" applyBorder="1" applyAlignment="1" applyProtection="1">
      <alignment horizontal="center" vertical="center" wrapText="1"/>
      <protection locked="0"/>
    </xf>
    <xf numFmtId="0" fontId="6" fillId="0" borderId="0" xfId="0" applyFont="1" applyFill="1" applyBorder="1" applyProtection="1">
      <protection locked="0"/>
    </xf>
    <xf numFmtId="49" fontId="6" fillId="0" borderId="26" xfId="0" applyNumberFormat="1" applyFont="1" applyBorder="1" applyAlignment="1" applyProtection="1">
      <alignment horizontal="center" vertical="center"/>
      <protection locked="0"/>
    </xf>
    <xf numFmtId="49" fontId="7" fillId="0" borderId="6" xfId="0" applyNumberFormat="1" applyFont="1" applyBorder="1" applyAlignment="1" applyProtection="1">
      <alignment horizontal="center" vertical="center"/>
      <protection locked="0"/>
    </xf>
    <xf numFmtId="0" fontId="7" fillId="0" borderId="0" xfId="0" applyNumberFormat="1" applyFont="1" applyBorder="1" applyAlignment="1" applyProtection="1">
      <alignment horizontal="right" vertical="center"/>
      <protection locked="0"/>
    </xf>
    <xf numFmtId="0" fontId="6" fillId="0" borderId="19" xfId="0" applyNumberFormat="1" applyFont="1" applyBorder="1" applyAlignment="1" applyProtection="1">
      <alignment horizontal="center" vertical="center"/>
      <protection locked="0"/>
    </xf>
    <xf numFmtId="0" fontId="11" fillId="0" borderId="45" xfId="0" applyNumberFormat="1" applyFont="1" applyBorder="1" applyAlignment="1" applyProtection="1">
      <alignment horizontal="center" vertical="center" wrapText="1"/>
      <protection locked="0"/>
    </xf>
    <xf numFmtId="0" fontId="11" fillId="0" borderId="46" xfId="0" applyNumberFormat="1" applyFont="1" applyBorder="1" applyAlignment="1" applyProtection="1">
      <alignment horizontal="center" vertical="center" wrapText="1"/>
      <protection locked="0"/>
    </xf>
    <xf numFmtId="0" fontId="11" fillId="0" borderId="47" xfId="0" applyNumberFormat="1" applyFont="1" applyBorder="1" applyAlignment="1" applyProtection="1">
      <alignment horizontal="center" vertical="center" wrapText="1"/>
      <protection locked="0"/>
    </xf>
    <xf numFmtId="49" fontId="7" fillId="0" borderId="2" xfId="0" applyNumberFormat="1" applyFont="1" applyBorder="1" applyAlignment="1" applyProtection="1">
      <alignment horizontal="center" vertical="center"/>
      <protection locked="0"/>
    </xf>
    <xf numFmtId="0" fontId="11" fillId="0" borderId="48" xfId="0" applyNumberFormat="1" applyFont="1" applyBorder="1" applyAlignment="1" applyProtection="1">
      <alignment horizontal="center" vertical="center" wrapText="1"/>
      <protection locked="0"/>
    </xf>
    <xf numFmtId="0" fontId="11" fillId="0" borderId="49" xfId="0" applyNumberFormat="1" applyFont="1" applyBorder="1" applyAlignment="1" applyProtection="1">
      <alignment horizontal="center" vertical="center" wrapText="1"/>
      <protection locked="0"/>
    </xf>
    <xf numFmtId="0" fontId="11" fillId="0" borderId="50" xfId="0" applyNumberFormat="1" applyFont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Protection="1">
      <protection locked="0"/>
    </xf>
    <xf numFmtId="0" fontId="7" fillId="0" borderId="0" xfId="0" applyFont="1" applyBorder="1" applyProtection="1">
      <protection locked="0"/>
    </xf>
    <xf numFmtId="0" fontId="6" fillId="0" borderId="0" xfId="0" applyNumberFormat="1" applyFont="1" applyBorder="1" applyAlignment="1" applyProtection="1">
      <alignment horizontal="right" vertical="center"/>
      <protection locked="0"/>
    </xf>
    <xf numFmtId="49" fontId="7" fillId="7" borderId="0" xfId="0" applyNumberFormat="1" applyFont="1" applyFill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horizontal="right"/>
      <protection locked="0"/>
    </xf>
    <xf numFmtId="0" fontId="8" fillId="0" borderId="34" xfId="1" applyFont="1" applyBorder="1" applyAlignment="1" applyProtection="1">
      <alignment horizontal="center" vertical="center" wrapText="1"/>
      <protection locked="0"/>
    </xf>
    <xf numFmtId="0" fontId="8" fillId="0" borderId="35" xfId="1" applyFont="1" applyBorder="1" applyAlignment="1" applyProtection="1">
      <alignment horizontal="center" vertical="center" wrapText="1"/>
      <protection locked="0"/>
    </xf>
    <xf numFmtId="0" fontId="8" fillId="0" borderId="11" xfId="1" applyFont="1" applyBorder="1" applyAlignment="1" applyProtection="1">
      <alignment horizontal="center" vertical="center" wrapText="1"/>
      <protection locked="0"/>
    </xf>
    <xf numFmtId="49" fontId="6" fillId="0" borderId="0" xfId="0" applyNumberFormat="1" applyFont="1" applyAlignment="1" applyProtection="1">
      <alignment horizontal="right" vertical="center"/>
      <protection locked="0"/>
    </xf>
    <xf numFmtId="0" fontId="8" fillId="0" borderId="36" xfId="1" applyFont="1" applyBorder="1" applyAlignment="1" applyProtection="1">
      <alignment horizontal="center" vertical="center" wrapText="1"/>
      <protection locked="0"/>
    </xf>
    <xf numFmtId="0" fontId="8" fillId="0" borderId="1" xfId="1" applyFont="1" applyBorder="1" applyAlignment="1" applyProtection="1">
      <alignment horizontal="center" vertical="center" wrapText="1"/>
      <protection locked="0"/>
    </xf>
    <xf numFmtId="0" fontId="8" fillId="0" borderId="37" xfId="1" applyFont="1" applyBorder="1" applyAlignment="1" applyProtection="1">
      <alignment horizontal="center" vertical="center" wrapText="1"/>
      <protection locked="0"/>
    </xf>
    <xf numFmtId="0" fontId="6" fillId="0" borderId="0" xfId="0" applyNumberFormat="1" applyFont="1" applyAlignment="1" applyProtection="1">
      <alignment horizontal="right" vertical="center"/>
      <protection locked="0"/>
    </xf>
    <xf numFmtId="0" fontId="8" fillId="0" borderId="18" xfId="1" applyFont="1" applyBorder="1" applyAlignment="1" applyProtection="1">
      <alignment horizontal="center" vertical="center" wrapText="1"/>
      <protection locked="0"/>
    </xf>
    <xf numFmtId="0" fontId="8" fillId="0" borderId="2" xfId="1" applyFont="1" applyBorder="1" applyAlignment="1" applyProtection="1">
      <alignment horizontal="center" vertical="center" wrapText="1"/>
      <protection locked="0"/>
    </xf>
    <xf numFmtId="0" fontId="8" fillId="0" borderId="32" xfId="1" applyFont="1" applyBorder="1" applyAlignment="1" applyProtection="1">
      <alignment horizontal="center" vertical="center" wrapText="1"/>
      <protection locked="0"/>
    </xf>
    <xf numFmtId="0" fontId="8" fillId="0" borderId="33" xfId="1" applyFont="1" applyBorder="1" applyAlignment="1" applyProtection="1">
      <alignment horizontal="center" vertical="center" wrapText="1"/>
      <protection locked="0"/>
    </xf>
    <xf numFmtId="0" fontId="8" fillId="0" borderId="9" xfId="1" applyFont="1" applyBorder="1" applyAlignment="1" applyProtection="1">
      <alignment horizontal="center" vertical="center" wrapText="1"/>
      <protection locked="0"/>
    </xf>
    <xf numFmtId="0" fontId="8" fillId="0" borderId="12" xfId="1" applyFont="1" applyBorder="1" applyAlignment="1" applyProtection="1">
      <alignment horizontal="center" vertical="center" wrapText="1"/>
      <protection locked="0"/>
    </xf>
    <xf numFmtId="0" fontId="7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6" fillId="0" borderId="24" xfId="0" applyNumberFormat="1" applyFont="1" applyBorder="1" applyAlignment="1" applyProtection="1">
      <alignment horizontal="center" vertical="center"/>
      <protection locked="0"/>
    </xf>
    <xf numFmtId="0" fontId="6" fillId="0" borderId="1" xfId="0" applyNumberFormat="1" applyFont="1" applyBorder="1" applyAlignment="1" applyProtection="1">
      <alignment horizontal="center" vertical="center"/>
      <protection locked="0"/>
    </xf>
    <xf numFmtId="49" fontId="7" fillId="0" borderId="5" xfId="0" applyNumberFormat="1" applyFont="1" applyBorder="1" applyAlignment="1" applyProtection="1">
      <alignment horizontal="left" vertical="center"/>
      <protection locked="0"/>
    </xf>
    <xf numFmtId="49" fontId="7" fillId="0" borderId="6" xfId="0" applyNumberFormat="1" applyFont="1" applyBorder="1" applyAlignment="1" applyProtection="1">
      <alignment horizontal="left" vertical="center"/>
      <protection locked="0"/>
    </xf>
    <xf numFmtId="0" fontId="3" fillId="0" borderId="0" xfId="0" applyNumberFormat="1" applyFont="1" applyBorder="1" applyAlignment="1" applyProtection="1">
      <alignment horizontal="right" vertical="center" wrapText="1"/>
      <protection locked="0"/>
    </xf>
    <xf numFmtId="0" fontId="3" fillId="0" borderId="0" xfId="0" applyNumberFormat="1" applyFont="1" applyBorder="1" applyAlignment="1" applyProtection="1">
      <alignment vertical="center" wrapText="1"/>
      <protection locked="0"/>
    </xf>
    <xf numFmtId="0" fontId="11" fillId="0" borderId="30" xfId="0" applyNumberFormat="1" applyFont="1" applyBorder="1" applyAlignment="1" applyProtection="1">
      <alignment horizontal="center" vertical="center" wrapText="1"/>
      <protection locked="0"/>
    </xf>
    <xf numFmtId="49" fontId="2" fillId="0" borderId="0" xfId="0" applyNumberFormat="1" applyFont="1" applyBorder="1" applyAlignment="1" applyProtection="1">
      <alignment horizontal="center" vertical="center" wrapText="1"/>
      <protection locked="0"/>
    </xf>
    <xf numFmtId="0" fontId="11" fillId="0" borderId="31" xfId="0" applyNumberFormat="1" applyFont="1" applyBorder="1" applyAlignment="1" applyProtection="1">
      <alignment horizontal="center" vertical="center" wrapText="1"/>
      <protection locked="0"/>
    </xf>
    <xf numFmtId="0" fontId="7" fillId="0" borderId="35" xfId="0" applyFont="1" applyBorder="1" applyAlignment="1" applyProtection="1">
      <alignment horizontal="center"/>
      <protection locked="0"/>
    </xf>
    <xf numFmtId="0" fontId="7" fillId="0" borderId="11" xfId="0" applyFont="1" applyBorder="1" applyAlignment="1" applyProtection="1">
      <alignment horizontal="center"/>
      <protection locked="0"/>
    </xf>
    <xf numFmtId="0" fontId="7" fillId="0" borderId="33" xfId="0" applyFont="1" applyBorder="1" applyAlignment="1" applyProtection="1">
      <alignment horizontal="center"/>
      <protection locked="0"/>
    </xf>
    <xf numFmtId="0" fontId="7" fillId="0" borderId="9" xfId="0" applyFont="1" applyBorder="1" applyAlignment="1" applyProtection="1">
      <alignment horizontal="center"/>
      <protection locked="0"/>
    </xf>
    <xf numFmtId="0" fontId="7" fillId="0" borderId="12" xfId="0" applyFont="1" applyBorder="1" applyAlignment="1" applyProtection="1">
      <alignment horizontal="center"/>
      <protection locked="0"/>
    </xf>
    <xf numFmtId="0" fontId="11" fillId="0" borderId="38" xfId="0" applyNumberFormat="1" applyFont="1" applyBorder="1" applyAlignment="1" applyProtection="1">
      <alignment horizontal="center" vertical="center" wrapText="1"/>
      <protection locked="0"/>
    </xf>
    <xf numFmtId="0" fontId="11" fillId="0" borderId="39" xfId="0" applyNumberFormat="1" applyFont="1" applyBorder="1" applyAlignment="1" applyProtection="1">
      <alignment horizontal="center" vertical="center" wrapText="1"/>
      <protection locked="0"/>
    </xf>
    <xf numFmtId="0" fontId="11" fillId="0" borderId="40" xfId="0" applyNumberFormat="1" applyFont="1" applyBorder="1" applyAlignment="1" applyProtection="1">
      <alignment horizontal="center" vertical="center" wrapText="1"/>
      <protection locked="0"/>
    </xf>
    <xf numFmtId="0" fontId="11" fillId="0" borderId="41" xfId="0" applyNumberFormat="1" applyFont="1" applyBorder="1" applyAlignment="1" applyProtection="1">
      <alignment horizontal="center" vertical="center" wrapText="1"/>
      <protection locked="0"/>
    </xf>
    <xf numFmtId="0" fontId="11" fillId="0" borderId="42" xfId="0" applyNumberFormat="1" applyFont="1" applyBorder="1" applyAlignment="1" applyProtection="1">
      <alignment horizontal="center" vertical="center" wrapText="1"/>
      <protection locked="0"/>
    </xf>
    <xf numFmtId="0" fontId="11" fillId="0" borderId="43" xfId="0" applyNumberFormat="1" applyFont="1" applyBorder="1" applyAlignment="1" applyProtection="1">
      <alignment horizontal="center" vertical="center" wrapText="1"/>
      <protection locked="0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66675</xdr:rowOff>
    </xdr:from>
    <xdr:to>
      <xdr:col>1</xdr:col>
      <xdr:colOff>228600</xdr:colOff>
      <xdr:row>1</xdr:row>
      <xdr:rowOff>180975</xdr:rowOff>
    </xdr:to>
    <xdr:pic>
      <xdr:nvPicPr>
        <xdr:cNvPr id="4216" name="Picture 1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4300" y="66675"/>
          <a:ext cx="466725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123825</xdr:rowOff>
    </xdr:from>
    <xdr:to>
      <xdr:col>1</xdr:col>
      <xdr:colOff>428625</xdr:colOff>
      <xdr:row>2</xdr:row>
      <xdr:rowOff>19050</xdr:rowOff>
    </xdr:to>
    <xdr:pic>
      <xdr:nvPicPr>
        <xdr:cNvPr id="1306" name="Picture 1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1450" y="123825"/>
          <a:ext cx="571500" cy="5524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29</xdr:col>
      <xdr:colOff>161925</xdr:colOff>
      <xdr:row>68</xdr:row>
      <xdr:rowOff>133350</xdr:rowOff>
    </xdr:from>
    <xdr:to>
      <xdr:col>29</xdr:col>
      <xdr:colOff>571500</xdr:colOff>
      <xdr:row>68</xdr:row>
      <xdr:rowOff>133350</xdr:rowOff>
    </xdr:to>
    <xdr:sp macro="" textlink="">
      <xdr:nvSpPr>
        <xdr:cNvPr id="1307" name="Line 42"/>
        <xdr:cNvSpPr>
          <a:spLocks noChangeShapeType="1"/>
        </xdr:cNvSpPr>
      </xdr:nvSpPr>
      <xdr:spPr bwMode="auto">
        <a:xfrm>
          <a:off x="12325350" y="12134850"/>
          <a:ext cx="4095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47625</xdr:rowOff>
    </xdr:from>
    <xdr:to>
      <xdr:col>1</xdr:col>
      <xdr:colOff>66675</xdr:colOff>
      <xdr:row>1</xdr:row>
      <xdr:rowOff>314325</xdr:rowOff>
    </xdr:to>
    <xdr:pic>
      <xdr:nvPicPr>
        <xdr:cNvPr id="3200" name="Picture 1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66675" y="47625"/>
          <a:ext cx="533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200025</xdr:colOff>
      <xdr:row>0</xdr:row>
      <xdr:rowOff>161925</xdr:rowOff>
    </xdr:from>
    <xdr:to>
      <xdr:col>1</xdr:col>
      <xdr:colOff>419100</xdr:colOff>
      <xdr:row>2</xdr:row>
      <xdr:rowOff>95250</xdr:rowOff>
    </xdr:to>
    <xdr:pic>
      <xdr:nvPicPr>
        <xdr:cNvPr id="2168" name="Picture 1" descr="фед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00025" y="161925"/>
          <a:ext cx="533400" cy="514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56;&#1077;&#1075;&#1080;&#1089;&#1090;&#1088;&#1072;&#1094;&#1080;&#1103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afis/Desktop/&#1063;&#1077;&#1084;&#1087;%20&#1056;&#1086;&#1089;&#1089;&#1080;&#1080;%20%202016%20&#1078;&#1077;&#1085;%20&#8212;%20&#1082;&#1086;&#1087;&#1080;&#1103;/&#1055;&#1088;&#1086;&#1090;&#1086;&#1082;&#1086;&#1083;&#1099;/&#1056;&#1077;&#1075;&#1080;&#1089;&#1090;&#1088;&#1072;&#1094;&#1080;&#110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еквизиты"/>
      <sheetName val="регистрация"/>
    </sheetNames>
    <sheetDataSet>
      <sheetData sheetId="0">
        <row r="2">
          <cell r="A2" t="str">
            <v>Чемпионат России по САМБО среди женщин</v>
          </cell>
        </row>
        <row r="3">
          <cell r="A3" t="str">
            <v>4-8  марта  2016 г.  г. Химки</v>
          </cell>
        </row>
        <row r="6">
          <cell r="A6" t="str">
            <v>Гл. судья, судья МК</v>
          </cell>
          <cell r="G6" t="str">
            <v>Р.М. Бабоян</v>
          </cell>
        </row>
        <row r="7">
          <cell r="G7" t="str">
            <v>/ г. Армавир /</v>
          </cell>
        </row>
        <row r="8">
          <cell r="A8" t="str">
            <v>Гл. секретарь, судья МК</v>
          </cell>
          <cell r="G8" t="str">
            <v>Р.М. Закиров</v>
          </cell>
        </row>
        <row r="9">
          <cell r="G9" t="str">
            <v>/  г. Пермь /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еквизиты"/>
      <sheetName val="регистрация"/>
    </sheetNames>
    <sheetDataSet>
      <sheetData sheetId="0">
        <row r="6">
          <cell r="G6" t="str">
            <v>Р.М. Бабоян</v>
          </cell>
        </row>
        <row r="7">
          <cell r="G7" t="str">
            <v>/ г. Армавир /</v>
          </cell>
        </row>
        <row r="8">
          <cell r="G8" t="str">
            <v>Р.М. Закиров</v>
          </cell>
        </row>
        <row r="9">
          <cell r="G9" t="str">
            <v>/  г. Пермь /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12"/>
  </sheetPr>
  <dimension ref="A1:P49"/>
  <sheetViews>
    <sheetView topLeftCell="A10" workbookViewId="0">
      <selection activeCell="I22" sqref="I22"/>
    </sheetView>
  </sheetViews>
  <sheetFormatPr defaultRowHeight="12.75"/>
  <cols>
    <col min="1" max="1" width="5.28515625" customWidth="1"/>
    <col min="2" max="2" width="4.85546875" customWidth="1"/>
    <col min="3" max="3" width="28.85546875" customWidth="1"/>
    <col min="4" max="4" width="12.28515625" customWidth="1"/>
    <col min="5" max="5" width="6.5703125" customWidth="1"/>
    <col min="6" max="6" width="19.28515625" customWidth="1"/>
    <col min="7" max="7" width="8" hidden="1" customWidth="1"/>
    <col min="8" max="8" width="19.140625" customWidth="1"/>
  </cols>
  <sheetData>
    <row r="1" spans="1:16" ht="29.25" customHeight="1">
      <c r="A1" s="205" t="s">
        <v>26</v>
      </c>
      <c r="B1" s="205"/>
      <c r="C1" s="205"/>
      <c r="D1" s="205"/>
      <c r="E1" s="205"/>
      <c r="F1" s="205"/>
      <c r="G1" s="205"/>
      <c r="H1" s="205"/>
    </row>
    <row r="2" spans="1:16" ht="29.25" customHeight="1">
      <c r="A2" s="198" t="str">
        <f>HYPERLINK([1]реквизиты!$A$2)</f>
        <v>Чемпионат России по САМБО среди женщин</v>
      </c>
      <c r="B2" s="198"/>
      <c r="C2" s="198"/>
      <c r="D2" s="198"/>
      <c r="E2" s="198"/>
      <c r="F2" s="198"/>
      <c r="G2" s="198"/>
      <c r="H2" s="198"/>
      <c r="I2" s="178"/>
      <c r="J2" s="178"/>
      <c r="K2" s="178"/>
      <c r="L2" s="178"/>
      <c r="M2" s="178"/>
      <c r="N2" s="178"/>
      <c r="O2" s="178"/>
      <c r="P2" s="178"/>
    </row>
    <row r="3" spans="1:16" ht="12.75" customHeight="1">
      <c r="A3" s="200" t="str">
        <f>HYPERLINK([1]реквизиты!$A$3)</f>
        <v>4-8  марта  2016 г.  г. Химки</v>
      </c>
      <c r="B3" s="200"/>
      <c r="C3" s="200"/>
      <c r="D3" s="200"/>
      <c r="E3" s="200"/>
      <c r="F3" s="200"/>
      <c r="G3" s="200"/>
    </row>
    <row r="4" spans="1:16" ht="12.75" customHeight="1">
      <c r="D4" s="196" t="s">
        <v>74</v>
      </c>
      <c r="E4" s="197"/>
    </row>
    <row r="5" spans="1:16" ht="12.75" customHeight="1">
      <c r="A5" s="192" t="s">
        <v>9</v>
      </c>
      <c r="B5" s="206" t="s">
        <v>4</v>
      </c>
      <c r="C5" s="192" t="s">
        <v>5</v>
      </c>
      <c r="D5" s="192" t="s">
        <v>6</v>
      </c>
      <c r="E5" s="201" t="s">
        <v>7</v>
      </c>
      <c r="F5" s="202"/>
      <c r="G5" s="192" t="s">
        <v>10</v>
      </c>
      <c r="H5" s="192" t="s">
        <v>8</v>
      </c>
    </row>
    <row r="6" spans="1:16" ht="13.5" thickBot="1">
      <c r="A6" s="193"/>
      <c r="B6" s="207"/>
      <c r="C6" s="193"/>
      <c r="D6" s="193"/>
      <c r="E6" s="203"/>
      <c r="F6" s="204"/>
      <c r="G6" s="193"/>
      <c r="H6" s="193"/>
    </row>
    <row r="7" spans="1:16" ht="12.75" customHeight="1">
      <c r="A7" s="181">
        <v>1</v>
      </c>
      <c r="B7" s="182">
        <v>1</v>
      </c>
      <c r="C7" s="183" t="s">
        <v>126</v>
      </c>
      <c r="D7" s="185" t="s">
        <v>127</v>
      </c>
      <c r="E7" s="187" t="s">
        <v>128</v>
      </c>
      <c r="F7" s="179" t="s">
        <v>129</v>
      </c>
      <c r="G7" s="185"/>
      <c r="H7" s="199" t="s">
        <v>130</v>
      </c>
    </row>
    <row r="8" spans="1:16" ht="12.75" customHeight="1" thickBot="1">
      <c r="A8" s="181"/>
      <c r="B8" s="182"/>
      <c r="C8" s="184"/>
      <c r="D8" s="186"/>
      <c r="E8" s="188"/>
      <c r="F8" s="180"/>
      <c r="G8" s="186"/>
      <c r="H8" s="199"/>
    </row>
    <row r="9" spans="1:16" ht="12.75" customHeight="1">
      <c r="A9" s="181">
        <v>2</v>
      </c>
      <c r="B9" s="182">
        <v>2</v>
      </c>
      <c r="C9" s="183" t="s">
        <v>140</v>
      </c>
      <c r="D9" s="185" t="s">
        <v>141</v>
      </c>
      <c r="E9" s="187" t="s">
        <v>77</v>
      </c>
      <c r="F9" s="179" t="s">
        <v>142</v>
      </c>
      <c r="G9" s="185"/>
      <c r="H9" s="199" t="s">
        <v>143</v>
      </c>
    </row>
    <row r="10" spans="1:16" ht="15" customHeight="1" thickBot="1">
      <c r="A10" s="181"/>
      <c r="B10" s="182"/>
      <c r="C10" s="184"/>
      <c r="D10" s="186"/>
      <c r="E10" s="188"/>
      <c r="F10" s="180"/>
      <c r="G10" s="186"/>
      <c r="H10" s="199"/>
    </row>
    <row r="11" spans="1:16" ht="12.75" customHeight="1">
      <c r="A11" s="181">
        <v>3</v>
      </c>
      <c r="B11" s="182">
        <v>3</v>
      </c>
      <c r="C11" s="183" t="s">
        <v>80</v>
      </c>
      <c r="D11" s="185" t="s">
        <v>81</v>
      </c>
      <c r="E11" s="187" t="s">
        <v>77</v>
      </c>
      <c r="F11" s="179" t="s">
        <v>82</v>
      </c>
      <c r="G11" s="185" t="s">
        <v>83</v>
      </c>
      <c r="H11" s="199" t="s">
        <v>84</v>
      </c>
    </row>
    <row r="12" spans="1:16" ht="15" customHeight="1" thickBot="1">
      <c r="A12" s="181"/>
      <c r="B12" s="182"/>
      <c r="C12" s="184"/>
      <c r="D12" s="186"/>
      <c r="E12" s="188"/>
      <c r="F12" s="180"/>
      <c r="G12" s="186"/>
      <c r="H12" s="199"/>
    </row>
    <row r="13" spans="1:16" ht="15" customHeight="1">
      <c r="A13" s="181">
        <v>4</v>
      </c>
      <c r="B13" s="182">
        <v>4</v>
      </c>
      <c r="C13" s="183" t="s">
        <v>94</v>
      </c>
      <c r="D13" s="185" t="s">
        <v>95</v>
      </c>
      <c r="E13" s="187" t="s">
        <v>91</v>
      </c>
      <c r="F13" s="179" t="s">
        <v>96</v>
      </c>
      <c r="G13" s="185"/>
      <c r="H13" s="199" t="s">
        <v>97</v>
      </c>
    </row>
    <row r="14" spans="1:16" ht="15.75" customHeight="1" thickBot="1">
      <c r="A14" s="181"/>
      <c r="B14" s="182"/>
      <c r="C14" s="184"/>
      <c r="D14" s="186"/>
      <c r="E14" s="188"/>
      <c r="F14" s="180"/>
      <c r="G14" s="186"/>
      <c r="H14" s="199"/>
    </row>
    <row r="15" spans="1:16" ht="12.75" customHeight="1">
      <c r="A15" s="181">
        <v>5</v>
      </c>
      <c r="B15" s="182">
        <v>5</v>
      </c>
      <c r="C15" s="183" t="s">
        <v>89</v>
      </c>
      <c r="D15" s="185" t="s">
        <v>90</v>
      </c>
      <c r="E15" s="191" t="s">
        <v>91</v>
      </c>
      <c r="F15" s="179" t="s">
        <v>92</v>
      </c>
      <c r="G15" s="185"/>
      <c r="H15" s="199" t="s">
        <v>93</v>
      </c>
    </row>
    <row r="16" spans="1:16" ht="15" customHeight="1" thickBot="1">
      <c r="A16" s="181"/>
      <c r="B16" s="182"/>
      <c r="C16" s="184"/>
      <c r="D16" s="186"/>
      <c r="E16" s="188"/>
      <c r="F16" s="180"/>
      <c r="G16" s="186"/>
      <c r="H16" s="199"/>
    </row>
    <row r="17" spans="1:8" ht="12.75" customHeight="1">
      <c r="A17" s="181">
        <v>6</v>
      </c>
      <c r="B17" s="182">
        <v>6</v>
      </c>
      <c r="C17" s="183" t="s">
        <v>108</v>
      </c>
      <c r="D17" s="185" t="s">
        <v>109</v>
      </c>
      <c r="E17" s="187" t="s">
        <v>110</v>
      </c>
      <c r="F17" s="179" t="s">
        <v>111</v>
      </c>
      <c r="G17" s="185"/>
      <c r="H17" s="199" t="s">
        <v>112</v>
      </c>
    </row>
    <row r="18" spans="1:8" ht="15" customHeight="1" thickBot="1">
      <c r="A18" s="181"/>
      <c r="B18" s="182"/>
      <c r="C18" s="184" t="s">
        <v>113</v>
      </c>
      <c r="D18" s="186" t="s">
        <v>114</v>
      </c>
      <c r="E18" s="188"/>
      <c r="F18" s="180" t="s">
        <v>115</v>
      </c>
      <c r="G18" s="186">
        <v>753</v>
      </c>
      <c r="H18" s="199" t="s">
        <v>116</v>
      </c>
    </row>
    <row r="19" spans="1:8" ht="12.75" customHeight="1">
      <c r="A19" s="181">
        <v>7</v>
      </c>
      <c r="B19" s="182">
        <v>7</v>
      </c>
      <c r="C19" s="183" t="s">
        <v>103</v>
      </c>
      <c r="D19" s="185" t="s">
        <v>104</v>
      </c>
      <c r="E19" s="187" t="s">
        <v>105</v>
      </c>
      <c r="F19" s="179" t="s">
        <v>106</v>
      </c>
      <c r="G19" s="185"/>
      <c r="H19" s="199" t="s">
        <v>107</v>
      </c>
    </row>
    <row r="20" spans="1:8" ht="15" customHeight="1" thickBot="1">
      <c r="A20" s="181"/>
      <c r="B20" s="182"/>
      <c r="C20" s="184"/>
      <c r="D20" s="186"/>
      <c r="E20" s="188"/>
      <c r="F20" s="180"/>
      <c r="G20" s="186"/>
      <c r="H20" s="199"/>
    </row>
    <row r="21" spans="1:8" ht="12.75" customHeight="1">
      <c r="A21" s="181">
        <v>8</v>
      </c>
      <c r="B21" s="182">
        <v>8</v>
      </c>
      <c r="C21" s="183" t="s">
        <v>131</v>
      </c>
      <c r="D21" s="185" t="s">
        <v>132</v>
      </c>
      <c r="E21" s="187" t="s">
        <v>123</v>
      </c>
      <c r="F21" s="179" t="s">
        <v>133</v>
      </c>
      <c r="G21" s="185">
        <v>18718023</v>
      </c>
      <c r="H21" s="199" t="s">
        <v>134</v>
      </c>
    </row>
    <row r="22" spans="1:8" ht="15" customHeight="1" thickBot="1">
      <c r="A22" s="181"/>
      <c r="B22" s="182"/>
      <c r="C22" s="184"/>
      <c r="D22" s="186"/>
      <c r="E22" s="188"/>
      <c r="F22" s="180"/>
      <c r="G22" s="186"/>
      <c r="H22" s="199"/>
    </row>
    <row r="23" spans="1:8" ht="12.75" customHeight="1">
      <c r="A23" s="181">
        <v>9</v>
      </c>
      <c r="B23" s="182">
        <v>9</v>
      </c>
      <c r="C23" s="183" t="s">
        <v>117</v>
      </c>
      <c r="D23" s="185" t="s">
        <v>118</v>
      </c>
      <c r="E23" s="187" t="s">
        <v>119</v>
      </c>
      <c r="F23" s="179" t="s">
        <v>120</v>
      </c>
      <c r="G23" s="185"/>
      <c r="H23" s="199" t="s">
        <v>121</v>
      </c>
    </row>
    <row r="24" spans="1:8" ht="15" customHeight="1" thickBot="1">
      <c r="A24" s="181"/>
      <c r="B24" s="182"/>
      <c r="C24" s="184"/>
      <c r="D24" s="186"/>
      <c r="E24" s="188"/>
      <c r="F24" s="180"/>
      <c r="G24" s="186"/>
      <c r="H24" s="199"/>
    </row>
    <row r="25" spans="1:8" ht="12.75" customHeight="1">
      <c r="A25" s="181">
        <v>10</v>
      </c>
      <c r="B25" s="182">
        <v>10</v>
      </c>
      <c r="C25" s="183" t="s">
        <v>135</v>
      </c>
      <c r="D25" s="185" t="s">
        <v>136</v>
      </c>
      <c r="E25" s="187" t="s">
        <v>137</v>
      </c>
      <c r="F25" s="179" t="s">
        <v>138</v>
      </c>
      <c r="G25" s="185"/>
      <c r="H25" s="199" t="s">
        <v>139</v>
      </c>
    </row>
    <row r="26" spans="1:8" ht="15" customHeight="1" thickBot="1">
      <c r="A26" s="181"/>
      <c r="B26" s="182"/>
      <c r="C26" s="184"/>
      <c r="D26" s="186"/>
      <c r="E26" s="188"/>
      <c r="F26" s="180"/>
      <c r="G26" s="186"/>
      <c r="H26" s="199"/>
    </row>
    <row r="27" spans="1:8" ht="12.75" customHeight="1">
      <c r="A27" s="181">
        <v>11</v>
      </c>
      <c r="B27" s="182">
        <v>11</v>
      </c>
      <c r="C27" s="183" t="s">
        <v>122</v>
      </c>
      <c r="D27" s="185" t="s">
        <v>147</v>
      </c>
      <c r="E27" s="187" t="s">
        <v>146</v>
      </c>
      <c r="F27" s="179" t="s">
        <v>124</v>
      </c>
      <c r="G27" s="185"/>
      <c r="H27" s="199" t="s">
        <v>125</v>
      </c>
    </row>
    <row r="28" spans="1:8" ht="15" customHeight="1" thickBot="1">
      <c r="A28" s="181"/>
      <c r="B28" s="182"/>
      <c r="C28" s="184"/>
      <c r="D28" s="186"/>
      <c r="E28" s="188"/>
      <c r="F28" s="180"/>
      <c r="G28" s="186"/>
      <c r="H28" s="199"/>
    </row>
    <row r="29" spans="1:8" ht="12.75" customHeight="1">
      <c r="A29" s="181">
        <v>12</v>
      </c>
      <c r="B29" s="182">
        <v>12</v>
      </c>
      <c r="C29" s="183" t="s">
        <v>75</v>
      </c>
      <c r="D29" s="185" t="s">
        <v>76</v>
      </c>
      <c r="E29" s="187" t="s">
        <v>77</v>
      </c>
      <c r="F29" s="179" t="s">
        <v>78</v>
      </c>
      <c r="G29" s="185"/>
      <c r="H29" s="199" t="s">
        <v>79</v>
      </c>
    </row>
    <row r="30" spans="1:8" ht="15" customHeight="1" thickBot="1">
      <c r="A30" s="181"/>
      <c r="B30" s="182"/>
      <c r="C30" s="184"/>
      <c r="D30" s="186"/>
      <c r="E30" s="188"/>
      <c r="F30" s="180"/>
      <c r="G30" s="186"/>
      <c r="H30" s="199"/>
    </row>
    <row r="31" spans="1:8" ht="15.75" customHeight="1">
      <c r="A31" s="181">
        <v>13</v>
      </c>
      <c r="B31" s="182">
        <v>13</v>
      </c>
      <c r="C31" s="183" t="s">
        <v>85</v>
      </c>
      <c r="D31" s="185" t="s">
        <v>86</v>
      </c>
      <c r="E31" s="187" t="s">
        <v>77</v>
      </c>
      <c r="F31" s="179" t="s">
        <v>87</v>
      </c>
      <c r="G31" s="185"/>
      <c r="H31" s="199" t="s">
        <v>88</v>
      </c>
    </row>
    <row r="32" spans="1:8" ht="15" customHeight="1" thickBot="1">
      <c r="A32" s="181"/>
      <c r="B32" s="182"/>
      <c r="C32" s="184"/>
      <c r="D32" s="186"/>
      <c r="E32" s="188"/>
      <c r="F32" s="180"/>
      <c r="G32" s="186"/>
      <c r="H32" s="199"/>
    </row>
    <row r="33" spans="1:8" ht="12.75" customHeight="1">
      <c r="A33" s="181">
        <v>14</v>
      </c>
      <c r="B33" s="182">
        <v>14</v>
      </c>
      <c r="C33" s="183" t="s">
        <v>98</v>
      </c>
      <c r="D33" s="185" t="s">
        <v>99</v>
      </c>
      <c r="E33" s="187" t="s">
        <v>91</v>
      </c>
      <c r="F33" s="179" t="s">
        <v>100</v>
      </c>
      <c r="G33" s="185" t="s">
        <v>101</v>
      </c>
      <c r="H33" s="199" t="s">
        <v>102</v>
      </c>
    </row>
    <row r="34" spans="1:8" ht="15" customHeight="1">
      <c r="A34" s="181"/>
      <c r="B34" s="182"/>
      <c r="C34" s="184"/>
      <c r="D34" s="186"/>
      <c r="E34" s="188"/>
      <c r="F34" s="180"/>
      <c r="G34" s="186"/>
      <c r="H34" s="199"/>
    </row>
    <row r="35" spans="1:8" hidden="1">
      <c r="A35" s="181">
        <v>15</v>
      </c>
      <c r="B35" s="182"/>
      <c r="C35" s="194"/>
      <c r="D35" s="194"/>
      <c r="E35" s="194"/>
      <c r="F35" s="194"/>
      <c r="G35" s="194"/>
      <c r="H35" s="194"/>
    </row>
    <row r="36" spans="1:8" ht="15" hidden="1" customHeight="1">
      <c r="A36" s="181"/>
      <c r="B36" s="182"/>
      <c r="C36" s="195"/>
      <c r="D36" s="195"/>
      <c r="E36" s="195"/>
      <c r="F36" s="195"/>
      <c r="G36" s="195"/>
      <c r="H36" s="195"/>
    </row>
    <row r="37" spans="1:8" ht="12.75" hidden="1" customHeight="1">
      <c r="A37" s="181">
        <v>16</v>
      </c>
      <c r="B37" s="182"/>
      <c r="C37" s="189"/>
      <c r="D37" s="189"/>
      <c r="E37" s="189"/>
      <c r="F37" s="189"/>
      <c r="G37" s="189"/>
      <c r="H37" s="189"/>
    </row>
    <row r="38" spans="1:8" ht="15" hidden="1" customHeight="1">
      <c r="A38" s="181"/>
      <c r="B38" s="182"/>
      <c r="C38" s="190"/>
      <c r="D38" s="190"/>
      <c r="E38" s="190"/>
      <c r="F38" s="190"/>
      <c r="G38" s="190"/>
      <c r="H38" s="190"/>
    </row>
    <row r="39" spans="1:8" ht="15.75" customHeight="1"/>
    <row r="41" spans="1:8">
      <c r="A41" s="86" t="s">
        <v>51</v>
      </c>
      <c r="C41" s="49"/>
      <c r="D41" s="49"/>
      <c r="E41" s="50" t="str">
        <f>HYPERLINK([1]реквизиты!$G$20)</f>
        <v/>
      </c>
      <c r="F41" s="51" t="str">
        <f>HYPERLINK([1]реквизиты!$G$21)</f>
        <v/>
      </c>
    </row>
    <row r="42" spans="1:8">
      <c r="C42" s="49"/>
      <c r="D42" s="49"/>
      <c r="E42" s="4"/>
    </row>
    <row r="43" spans="1:8">
      <c r="A43" s="86" t="s">
        <v>52</v>
      </c>
      <c r="C43" s="49"/>
      <c r="D43" s="49"/>
      <c r="E43" s="50" t="str">
        <f>HYPERLINK([1]реквизиты!$G$22)</f>
        <v/>
      </c>
      <c r="F43" s="52" t="str">
        <f>HYPERLINK([1]реквизиты!$G$23)</f>
        <v/>
      </c>
    </row>
    <row r="44" spans="1:8">
      <c r="C44" s="49"/>
      <c r="D44" s="49"/>
      <c r="E44" s="4"/>
    </row>
    <row r="45" spans="1:8">
      <c r="A45" s="86" t="s">
        <v>53</v>
      </c>
    </row>
    <row r="49" spans="1:1">
      <c r="A49" s="86" t="s">
        <v>54</v>
      </c>
    </row>
  </sheetData>
  <sortState ref="B7:H34">
    <sortCondition ref="B7:B34"/>
  </sortState>
  <mergeCells count="139">
    <mergeCell ref="A1:H1"/>
    <mergeCell ref="H27:H28"/>
    <mergeCell ref="H29:H30"/>
    <mergeCell ref="H31:H32"/>
    <mergeCell ref="H33:H34"/>
    <mergeCell ref="H19:H20"/>
    <mergeCell ref="H21:H22"/>
    <mergeCell ref="H23:H24"/>
    <mergeCell ref="H25:H26"/>
    <mergeCell ref="H11:H12"/>
    <mergeCell ref="H13:H14"/>
    <mergeCell ref="H15:H16"/>
    <mergeCell ref="H17:H18"/>
    <mergeCell ref="C19:C20"/>
    <mergeCell ref="D19:D20"/>
    <mergeCell ref="E19:E20"/>
    <mergeCell ref="E23:E24"/>
    <mergeCell ref="F23:F24"/>
    <mergeCell ref="A25:A26"/>
    <mergeCell ref="B25:B26"/>
    <mergeCell ref="C25:C26"/>
    <mergeCell ref="D25:D26"/>
    <mergeCell ref="A5:A6"/>
    <mergeCell ref="B5:B6"/>
    <mergeCell ref="H35:H36"/>
    <mergeCell ref="H37:H38"/>
    <mergeCell ref="A2:H2"/>
    <mergeCell ref="H5:H6"/>
    <mergeCell ref="H7:H8"/>
    <mergeCell ref="H9:H10"/>
    <mergeCell ref="G7:G8"/>
    <mergeCell ref="E9:E10"/>
    <mergeCell ref="F9:F10"/>
    <mergeCell ref="G9:G10"/>
    <mergeCell ref="G5:G6"/>
    <mergeCell ref="F7:F8"/>
    <mergeCell ref="A3:G3"/>
    <mergeCell ref="E37:E38"/>
    <mergeCell ref="F37:F38"/>
    <mergeCell ref="G37:G38"/>
    <mergeCell ref="E33:E34"/>
    <mergeCell ref="F33:F34"/>
    <mergeCell ref="G33:G34"/>
    <mergeCell ref="E35:E36"/>
    <mergeCell ref="F35:F36"/>
    <mergeCell ref="E5:F6"/>
    <mergeCell ref="A35:A36"/>
    <mergeCell ref="B35:B36"/>
    <mergeCell ref="C35:C36"/>
    <mergeCell ref="D35:D36"/>
    <mergeCell ref="A33:A34"/>
    <mergeCell ref="B33:B34"/>
    <mergeCell ref="C33:C34"/>
    <mergeCell ref="D33:D34"/>
    <mergeCell ref="D4:E4"/>
    <mergeCell ref="G27:G28"/>
    <mergeCell ref="C31:C32"/>
    <mergeCell ref="D31:D32"/>
    <mergeCell ref="E31:E32"/>
    <mergeCell ref="F31:F32"/>
    <mergeCell ref="G29:G30"/>
    <mergeCell ref="G31:G32"/>
    <mergeCell ref="E29:E30"/>
    <mergeCell ref="G35:G36"/>
    <mergeCell ref="D17:D18"/>
    <mergeCell ref="E25:E26"/>
    <mergeCell ref="F25:F26"/>
    <mergeCell ref="E17:E18"/>
    <mergeCell ref="F17:F18"/>
    <mergeCell ref="G17:G18"/>
    <mergeCell ref="A19:A20"/>
    <mergeCell ref="B19:B20"/>
    <mergeCell ref="C5:C6"/>
    <mergeCell ref="D5:D6"/>
    <mergeCell ref="C7:C8"/>
    <mergeCell ref="D7:D8"/>
    <mergeCell ref="A9:A10"/>
    <mergeCell ref="B9:B10"/>
    <mergeCell ref="C9:C10"/>
    <mergeCell ref="D9:D10"/>
    <mergeCell ref="A7:A8"/>
    <mergeCell ref="B7:B8"/>
    <mergeCell ref="E7:E8"/>
    <mergeCell ref="G21:G22"/>
    <mergeCell ref="G23:G24"/>
    <mergeCell ref="G25:G26"/>
    <mergeCell ref="G11:G12"/>
    <mergeCell ref="A37:A38"/>
    <mergeCell ref="B37:B38"/>
    <mergeCell ref="C37:C38"/>
    <mergeCell ref="D37:D38"/>
    <mergeCell ref="E11:E12"/>
    <mergeCell ref="F13:F14"/>
    <mergeCell ref="G13:G14"/>
    <mergeCell ref="A15:A16"/>
    <mergeCell ref="B15:B16"/>
    <mergeCell ref="C15:C16"/>
    <mergeCell ref="D15:D16"/>
    <mergeCell ref="E15:E16"/>
    <mergeCell ref="F15:F16"/>
    <mergeCell ref="G15:G16"/>
    <mergeCell ref="F19:F20"/>
    <mergeCell ref="G19:G20"/>
    <mergeCell ref="A17:A18"/>
    <mergeCell ref="B17:B18"/>
    <mergeCell ref="C17:C18"/>
    <mergeCell ref="F11:F12"/>
    <mergeCell ref="A11:A12"/>
    <mergeCell ref="B11:B12"/>
    <mergeCell ref="C11:C12"/>
    <mergeCell ref="D11:D12"/>
    <mergeCell ref="A13:A14"/>
    <mergeCell ref="B13:B14"/>
    <mergeCell ref="C13:C14"/>
    <mergeCell ref="D13:D14"/>
    <mergeCell ref="E13:E14"/>
    <mergeCell ref="F29:F30"/>
    <mergeCell ref="A31:A32"/>
    <mergeCell ref="B31:B32"/>
    <mergeCell ref="A29:A30"/>
    <mergeCell ref="B29:B30"/>
    <mergeCell ref="C29:C30"/>
    <mergeCell ref="D29:D30"/>
    <mergeCell ref="E21:E22"/>
    <mergeCell ref="F21:F22"/>
    <mergeCell ref="A23:A24"/>
    <mergeCell ref="B23:B24"/>
    <mergeCell ref="A21:A22"/>
    <mergeCell ref="B21:B22"/>
    <mergeCell ref="C21:C22"/>
    <mergeCell ref="D21:D22"/>
    <mergeCell ref="C23:C24"/>
    <mergeCell ref="D23:D24"/>
    <mergeCell ref="A27:A28"/>
    <mergeCell ref="B27:B28"/>
    <mergeCell ref="C27:C28"/>
    <mergeCell ref="D27:D28"/>
    <mergeCell ref="E27:E28"/>
    <mergeCell ref="F27:F28"/>
  </mergeCells>
  <phoneticPr fontId="0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indexed="14"/>
  </sheetPr>
  <dimension ref="A1:AC57"/>
  <sheetViews>
    <sheetView tabSelected="1" topLeftCell="A8" workbookViewId="0">
      <selection activeCell="G6" sqref="G6"/>
    </sheetView>
  </sheetViews>
  <sheetFormatPr defaultRowHeight="12.75"/>
  <cols>
    <col min="1" max="1" width="4.7109375" customWidth="1"/>
    <col min="2" max="2" width="14" customWidth="1"/>
    <col min="3" max="3" width="7.7109375" customWidth="1"/>
    <col min="4" max="4" width="11.28515625" customWidth="1"/>
    <col min="5" max="17" width="4.7109375" customWidth="1"/>
    <col min="18" max="18" width="14" customWidth="1"/>
    <col min="19" max="19" width="7.7109375" customWidth="1"/>
    <col min="20" max="20" width="11.28515625" customWidth="1"/>
    <col min="21" max="21" width="4.7109375" customWidth="1"/>
    <col min="25" max="26" width="3.140625" hidden="1" customWidth="1"/>
    <col min="27" max="27" width="3.85546875" hidden="1" customWidth="1"/>
  </cols>
  <sheetData>
    <row r="1" spans="1:29" ht="24" customHeight="1">
      <c r="A1" s="252" t="s">
        <v>23</v>
      </c>
      <c r="B1" s="252"/>
      <c r="C1" s="252"/>
      <c r="D1" s="252"/>
      <c r="E1" s="252"/>
      <c r="F1" s="252"/>
      <c r="G1" s="252"/>
      <c r="H1" s="252"/>
      <c r="I1" s="252"/>
      <c r="J1" s="252"/>
      <c r="K1" s="252"/>
      <c r="L1" s="252"/>
      <c r="M1" s="252"/>
      <c r="N1" s="252"/>
      <c r="O1" s="252"/>
      <c r="P1" s="252"/>
      <c r="Q1" s="252"/>
      <c r="R1" s="252"/>
      <c r="S1" s="252"/>
      <c r="T1" s="252"/>
      <c r="U1" s="252"/>
      <c r="V1" s="112"/>
      <c r="W1" s="112"/>
      <c r="X1" s="114"/>
      <c r="Y1" s="112"/>
      <c r="Z1" s="112"/>
      <c r="AA1" s="112"/>
      <c r="AB1" s="112"/>
    </row>
    <row r="2" spans="1:29" ht="27.75" customHeight="1" thickBot="1">
      <c r="A2" s="253" t="s">
        <v>24</v>
      </c>
      <c r="B2" s="253"/>
      <c r="C2" s="253"/>
      <c r="D2" s="253"/>
      <c r="E2" s="253"/>
      <c r="F2" s="253"/>
      <c r="G2" s="253"/>
      <c r="H2" s="253"/>
      <c r="I2" s="253"/>
      <c r="J2" s="253"/>
      <c r="K2" s="253"/>
      <c r="L2" s="253"/>
      <c r="M2" s="253"/>
      <c r="N2" s="253"/>
      <c r="O2" s="253"/>
      <c r="P2" s="253"/>
      <c r="Q2" s="253"/>
      <c r="R2" s="253"/>
      <c r="S2" s="253"/>
      <c r="T2" s="253"/>
      <c r="U2" s="253"/>
      <c r="V2" s="112"/>
      <c r="W2" s="112"/>
      <c r="X2" s="114"/>
      <c r="Y2" s="112"/>
      <c r="Z2" s="112"/>
      <c r="AA2" s="112"/>
      <c r="AB2" s="112"/>
    </row>
    <row r="3" spans="1:29" ht="33" customHeight="1" thickBot="1">
      <c r="A3" s="112"/>
      <c r="B3" s="112"/>
      <c r="C3" s="215" t="str">
        <f>HYPERLINK([1]реквизиты!$A$2)</f>
        <v>Чемпионат России по САМБО среди женщин</v>
      </c>
      <c r="D3" s="216"/>
      <c r="E3" s="216"/>
      <c r="F3" s="216"/>
      <c r="G3" s="216"/>
      <c r="H3" s="216"/>
      <c r="I3" s="216"/>
      <c r="J3" s="216"/>
      <c r="K3" s="216"/>
      <c r="L3" s="216"/>
      <c r="M3" s="216"/>
      <c r="N3" s="216"/>
      <c r="O3" s="216"/>
      <c r="P3" s="216"/>
      <c r="Q3" s="216"/>
      <c r="R3" s="217"/>
      <c r="S3" s="112"/>
      <c r="T3" s="112"/>
      <c r="U3" s="112"/>
      <c r="V3" s="112"/>
      <c r="W3" s="112"/>
      <c r="X3" s="114"/>
      <c r="Y3" s="112"/>
      <c r="Z3" s="112"/>
      <c r="AA3" s="112"/>
      <c r="AB3" s="112"/>
    </row>
    <row r="4" spans="1:29" ht="15.75" customHeight="1" thickBot="1">
      <c r="A4" s="121"/>
      <c r="B4" s="121"/>
      <c r="C4" s="218" t="str">
        <f>HYPERLINK([1]реквизиты!$A$3)</f>
        <v>4-8  марта  2016 г.  г. Химки</v>
      </c>
      <c r="D4" s="218"/>
      <c r="E4" s="218"/>
      <c r="F4" s="218"/>
      <c r="G4" s="218"/>
      <c r="H4" s="218"/>
      <c r="I4" s="218"/>
      <c r="J4" s="218"/>
      <c r="K4" s="218"/>
      <c r="L4" s="218"/>
      <c r="M4" s="218"/>
      <c r="N4" s="218"/>
      <c r="O4" s="218"/>
      <c r="P4" s="218"/>
      <c r="Q4" s="218"/>
      <c r="R4" s="218"/>
      <c r="S4" s="121"/>
      <c r="T4" s="112"/>
      <c r="U4" s="112"/>
      <c r="V4" s="112"/>
      <c r="W4" s="112"/>
      <c r="X4" s="114"/>
      <c r="Y4" s="112"/>
      <c r="Z4" s="112"/>
      <c r="AA4" s="112"/>
      <c r="AB4" s="112"/>
    </row>
    <row r="5" spans="1:29" ht="20.25" customHeight="1" thickBot="1">
      <c r="A5" s="112"/>
      <c r="B5" s="112"/>
      <c r="C5" s="112"/>
      <c r="D5" s="112"/>
      <c r="E5" s="112"/>
      <c r="F5" s="112"/>
      <c r="G5" s="112"/>
      <c r="H5" s="112"/>
      <c r="I5" s="122"/>
      <c r="J5" s="220" t="str">
        <f>HYPERLINK(пр.взв.!D4)</f>
        <v>в.к. 68  кг.</v>
      </c>
      <c r="K5" s="221"/>
      <c r="L5" s="222"/>
      <c r="M5" s="223" t="s">
        <v>144</v>
      </c>
      <c r="N5" s="224"/>
      <c r="O5" s="225"/>
      <c r="P5" s="112"/>
      <c r="Q5" s="112"/>
      <c r="R5" s="112"/>
      <c r="S5" s="112"/>
      <c r="T5" s="112"/>
      <c r="U5" s="112"/>
      <c r="V5" s="112"/>
      <c r="W5" s="123"/>
      <c r="X5" s="113"/>
      <c r="Y5" s="113"/>
      <c r="Z5" s="113"/>
      <c r="AA5" s="114"/>
      <c r="AB5" s="114"/>
    </row>
    <row r="6" spans="1:29" ht="18" customHeight="1" thickBot="1">
      <c r="A6" s="227" t="s">
        <v>0</v>
      </c>
      <c r="B6" s="227"/>
      <c r="C6" s="124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25"/>
      <c r="S6" s="125"/>
      <c r="T6" s="112"/>
      <c r="U6" s="125" t="s">
        <v>1</v>
      </c>
      <c r="V6" s="112"/>
      <c r="W6" s="126"/>
      <c r="X6" s="115"/>
      <c r="Y6" s="115"/>
      <c r="Z6" s="113"/>
      <c r="AA6" s="114"/>
      <c r="AB6" s="114"/>
    </row>
    <row r="7" spans="1:29" ht="12.75" customHeight="1" thickBot="1">
      <c r="A7" s="228">
        <v>1</v>
      </c>
      <c r="B7" s="208" t="str">
        <f>VLOOKUP(A7,пр.взв.!B7:C38,2,FALSE)</f>
        <v>Куцар Яна Олеговна</v>
      </c>
      <c r="C7" s="208" t="str">
        <f>VLOOKUP(A7,пр.взв.!B7:F38,3,FALSE)</f>
        <v>29.05.96 кмс</v>
      </c>
      <c r="D7" s="208" t="str">
        <f>VLOOKUP(A7,пр.взв.!B$1:G$36,4,FALSE)</f>
        <v>ЦФО</v>
      </c>
      <c r="E7" s="127"/>
      <c r="F7" s="128"/>
      <c r="G7" s="128"/>
      <c r="H7" s="128"/>
      <c r="I7" s="129" t="s">
        <v>28</v>
      </c>
      <c r="J7" s="128"/>
      <c r="K7" s="128"/>
      <c r="L7" s="128"/>
      <c r="M7" s="130"/>
      <c r="N7" s="130"/>
      <c r="O7" s="130"/>
      <c r="P7" s="130"/>
      <c r="Q7" s="131"/>
      <c r="R7" s="208" t="str">
        <f>VLOOKUP(U7,пр.взв.!B7:E38,2,FALSE)</f>
        <v>Агеева Татьяна Андреевна</v>
      </c>
      <c r="S7" s="219" t="str">
        <f>VLOOKUP(U7,пр.взв.!B7:E38,3,FALSE)</f>
        <v>06.04.93 мс</v>
      </c>
      <c r="T7" s="219" t="str">
        <f>VLOOKUP(U7,пр.взв.!B$7:E$38,4,FALSE)</f>
        <v>МОС</v>
      </c>
      <c r="U7" s="254">
        <v>2</v>
      </c>
      <c r="V7" s="112"/>
      <c r="W7" s="126"/>
      <c r="X7" s="115"/>
      <c r="Y7" s="115"/>
      <c r="Z7" s="113"/>
      <c r="AA7" s="113"/>
      <c r="AB7" s="113"/>
      <c r="AC7" s="4"/>
    </row>
    <row r="8" spans="1:29" ht="12.75" customHeight="1">
      <c r="A8" s="229"/>
      <c r="B8" s="209"/>
      <c r="C8" s="209"/>
      <c r="D8" s="209"/>
      <c r="E8" s="132">
        <v>9</v>
      </c>
      <c r="F8" s="133"/>
      <c r="G8" s="133"/>
      <c r="H8" s="471">
        <v>14</v>
      </c>
      <c r="I8" s="232" t="str">
        <f>VLOOKUP(H8,пр.взв.!B7:E38,2,FALSE)</f>
        <v>Мохнаткина Марина Юрьевна</v>
      </c>
      <c r="J8" s="233"/>
      <c r="K8" s="233"/>
      <c r="L8" s="233"/>
      <c r="M8" s="234"/>
      <c r="N8" s="130"/>
      <c r="O8" s="130"/>
      <c r="P8" s="130"/>
      <c r="Q8" s="132">
        <v>10</v>
      </c>
      <c r="R8" s="209"/>
      <c r="S8" s="210"/>
      <c r="T8" s="210"/>
      <c r="U8" s="238"/>
      <c r="V8" s="112"/>
      <c r="W8" s="126"/>
      <c r="X8" s="115"/>
      <c r="Y8" s="115"/>
      <c r="Z8" s="113"/>
      <c r="AA8" s="113"/>
      <c r="AB8" s="113"/>
      <c r="AC8" s="4"/>
    </row>
    <row r="9" spans="1:29" ht="12.75" customHeight="1" thickBot="1">
      <c r="A9" s="229">
        <v>9</v>
      </c>
      <c r="B9" s="210" t="str">
        <f>VLOOKUP(A9,пр.взв.!B9:C40,2,FALSE)</f>
        <v>Осинцева Илона Сергеевна</v>
      </c>
      <c r="C9" s="210" t="str">
        <f>VLOOKUP(A9,пр.взв.!B7:F38,3,FALSE)</f>
        <v>12.03.95 мс</v>
      </c>
      <c r="D9" s="210" t="str">
        <f>VLOOKUP(A9,пр.взв.!B$1:G$36,4,FALSE)</f>
        <v>УФО</v>
      </c>
      <c r="E9" s="134" t="s">
        <v>148</v>
      </c>
      <c r="F9" s="135"/>
      <c r="G9" s="133"/>
      <c r="H9" s="128"/>
      <c r="I9" s="235"/>
      <c r="J9" s="236"/>
      <c r="K9" s="236"/>
      <c r="L9" s="236"/>
      <c r="M9" s="237"/>
      <c r="N9" s="130"/>
      <c r="O9" s="130"/>
      <c r="P9" s="136"/>
      <c r="Q9" s="134" t="s">
        <v>149</v>
      </c>
      <c r="R9" s="210" t="str">
        <f>VLOOKUP(U9,пр.взв.!B9:E40,2,FALSE)</f>
        <v>Вереденко Дарья Андреевна</v>
      </c>
      <c r="S9" s="210" t="str">
        <f>VLOOKUP(U9,пр.взв.!B9:E40,3,FALSE)</f>
        <v>12.06.95 мс</v>
      </c>
      <c r="T9" s="212" t="str">
        <f>VLOOKUP(U9,пр.взв.!B$7:E$38,4,FALSE)</f>
        <v>ДФО</v>
      </c>
      <c r="U9" s="238">
        <v>10</v>
      </c>
      <c r="V9" s="112"/>
      <c r="W9" s="126"/>
      <c r="X9" s="115"/>
      <c r="Y9" s="115"/>
      <c r="Z9" s="113"/>
      <c r="AA9" s="113"/>
      <c r="AB9" s="113"/>
      <c r="AC9" s="4"/>
    </row>
    <row r="10" spans="1:29" ht="12.75" customHeight="1" thickBot="1">
      <c r="A10" s="230"/>
      <c r="B10" s="211"/>
      <c r="C10" s="211"/>
      <c r="D10" s="211"/>
      <c r="E10" s="137"/>
      <c r="F10" s="138"/>
      <c r="G10" s="132">
        <v>13</v>
      </c>
      <c r="H10" s="128"/>
      <c r="I10" s="131"/>
      <c r="J10" s="131"/>
      <c r="K10" s="139"/>
      <c r="L10" s="131"/>
      <c r="M10" s="130"/>
      <c r="N10" s="130"/>
      <c r="O10" s="132">
        <v>14</v>
      </c>
      <c r="P10" s="140"/>
      <c r="Q10" s="131"/>
      <c r="R10" s="211"/>
      <c r="S10" s="211"/>
      <c r="T10" s="210"/>
      <c r="U10" s="239"/>
      <c r="V10" s="112"/>
      <c r="W10" s="126"/>
      <c r="X10" s="116"/>
      <c r="Y10" s="115"/>
      <c r="Z10" s="113"/>
      <c r="AA10" s="113"/>
      <c r="AB10" s="113"/>
      <c r="AC10" s="4"/>
    </row>
    <row r="11" spans="1:29" ht="12.75" customHeight="1" thickBot="1">
      <c r="A11" s="228">
        <v>5</v>
      </c>
      <c r="B11" s="208" t="str">
        <f>VLOOKUP(A11,пр.взв.!B11:C42,2,FALSE)</f>
        <v>Власова Александра Игоревна</v>
      </c>
      <c r="C11" s="208" t="str">
        <f>VLOOKUP(A11,пр.взв.!B7:E38,3,FALSE)</f>
        <v>15.05.96 кмс</v>
      </c>
      <c r="D11" s="208" t="str">
        <f>VLOOKUP(A11,пр.взв.!B$1:G$36,4,FALSE)</f>
        <v>ПФО</v>
      </c>
      <c r="E11" s="127"/>
      <c r="F11" s="138"/>
      <c r="G11" s="134" t="s">
        <v>150</v>
      </c>
      <c r="H11" s="141"/>
      <c r="I11" s="128"/>
      <c r="J11" s="131"/>
      <c r="K11" s="131"/>
      <c r="L11" s="131"/>
      <c r="M11" s="130"/>
      <c r="N11" s="136"/>
      <c r="O11" s="134" t="s">
        <v>149</v>
      </c>
      <c r="P11" s="140"/>
      <c r="Q11" s="131"/>
      <c r="R11" s="208" t="str">
        <f>VLOOKUP(U11,пр.взв.!B11:E42,2,FALSE)</f>
        <v>Чемерская Анна Владимировна</v>
      </c>
      <c r="S11" s="208" t="str">
        <f>VLOOKUP(U11,пр.взв.!B11:E42,3,FALSE)</f>
        <v>08.08.94 мс</v>
      </c>
      <c r="T11" s="219" t="str">
        <f>VLOOKUP(U11,пр.взв.!B$7:E$38,4,FALSE)</f>
        <v>СФО</v>
      </c>
      <c r="U11" s="249">
        <v>6</v>
      </c>
      <c r="V11" s="112"/>
      <c r="W11" s="126"/>
      <c r="X11" s="116"/>
      <c r="Y11" s="115"/>
      <c r="Z11" s="113"/>
      <c r="AA11" s="113"/>
      <c r="AB11" s="113"/>
      <c r="AC11" s="4"/>
    </row>
    <row r="12" spans="1:29" ht="12.75" customHeight="1">
      <c r="A12" s="229"/>
      <c r="B12" s="209"/>
      <c r="C12" s="209"/>
      <c r="D12" s="209"/>
      <c r="E12" s="132">
        <v>13</v>
      </c>
      <c r="F12" s="142"/>
      <c r="G12" s="133"/>
      <c r="H12" s="143"/>
      <c r="I12" s="128"/>
      <c r="J12" s="226" t="s">
        <v>20</v>
      </c>
      <c r="K12" s="226"/>
      <c r="L12" s="226"/>
      <c r="M12" s="130"/>
      <c r="N12" s="140"/>
      <c r="O12" s="130"/>
      <c r="P12" s="144"/>
      <c r="Q12" s="132">
        <v>14</v>
      </c>
      <c r="R12" s="209"/>
      <c r="S12" s="209"/>
      <c r="T12" s="210"/>
      <c r="U12" s="238"/>
      <c r="V12" s="112"/>
      <c r="W12" s="126"/>
      <c r="X12" s="116"/>
      <c r="Y12" s="115"/>
      <c r="Z12" s="113"/>
      <c r="AA12" s="113"/>
      <c r="AB12" s="113"/>
      <c r="AC12" s="4"/>
    </row>
    <row r="13" spans="1:29" ht="12.75" customHeight="1" thickBot="1">
      <c r="A13" s="229">
        <v>13</v>
      </c>
      <c r="B13" s="210" t="str">
        <f>VLOOKUP(A13,пр.взв.!B7:C38,2,FALSE)</f>
        <v xml:space="preserve">Станкевич Виктория Владимировна </v>
      </c>
      <c r="C13" s="210" t="str">
        <f>VLOOKUP(A13,пр.взв.!B7:E38,3,FALSE)</f>
        <v>12.11.90 мс</v>
      </c>
      <c r="D13" s="210" t="str">
        <f>VLOOKUP(A13,пр.взв.!B$1:G$36,4,FALSE)</f>
        <v>МОС</v>
      </c>
      <c r="E13" s="134" t="s">
        <v>148</v>
      </c>
      <c r="F13" s="133"/>
      <c r="G13" s="133"/>
      <c r="H13" s="143"/>
      <c r="I13" s="145"/>
      <c r="J13" s="146"/>
      <c r="K13" s="146"/>
      <c r="L13" s="128"/>
      <c r="M13" s="130"/>
      <c r="N13" s="140"/>
      <c r="O13" s="130"/>
      <c r="P13" s="130"/>
      <c r="Q13" s="134" t="s">
        <v>149</v>
      </c>
      <c r="R13" s="210" t="str">
        <f>VLOOKUP(U13,пр.взв.!B13:E44,2,FALSE)</f>
        <v>Мохнаткина Марина Юрьевна</v>
      </c>
      <c r="S13" s="210" t="str">
        <f>VLOOKUP(U13,пр.взв.!B13:E44,3,FALSE)</f>
        <v>12.05.88 змс</v>
      </c>
      <c r="T13" s="212" t="str">
        <f>VLOOKUP(U13,пр.взв.!B$7:E$38,4,FALSE)</f>
        <v>ПФО</v>
      </c>
      <c r="U13" s="238">
        <v>14</v>
      </c>
      <c r="V13" s="112"/>
      <c r="W13" s="126"/>
      <c r="X13" s="116"/>
      <c r="Y13" s="115"/>
      <c r="Z13" s="113"/>
      <c r="AA13" s="113"/>
      <c r="AB13" s="113"/>
      <c r="AC13" s="4"/>
    </row>
    <row r="14" spans="1:29" ht="12.75" customHeight="1" thickBot="1">
      <c r="A14" s="230"/>
      <c r="B14" s="211"/>
      <c r="C14" s="211"/>
      <c r="D14" s="211"/>
      <c r="E14" s="137"/>
      <c r="F14" s="231"/>
      <c r="G14" s="231"/>
      <c r="H14" s="143"/>
      <c r="I14" s="132">
        <v>11</v>
      </c>
      <c r="J14" s="128"/>
      <c r="K14" s="128"/>
      <c r="L14" s="128"/>
      <c r="M14" s="132">
        <v>14</v>
      </c>
      <c r="N14" s="145"/>
      <c r="O14" s="130"/>
      <c r="P14" s="130"/>
      <c r="Q14" s="131"/>
      <c r="R14" s="211"/>
      <c r="S14" s="211"/>
      <c r="T14" s="210"/>
      <c r="U14" s="255"/>
      <c r="V14" s="112"/>
      <c r="W14" s="126"/>
      <c r="X14" s="116"/>
      <c r="Y14" s="115"/>
      <c r="Z14" s="113"/>
      <c r="AA14" s="113"/>
      <c r="AB14" s="113"/>
      <c r="AC14" s="4"/>
    </row>
    <row r="15" spans="1:29" ht="12.75" customHeight="1" thickBot="1">
      <c r="A15" s="228">
        <v>3</v>
      </c>
      <c r="B15" s="208" t="str">
        <f>VLOOKUP(A15,пр.взв.!B7:C38,2,FALSE)</f>
        <v>НАЗАРЕНКО Олеся Евгеньевна</v>
      </c>
      <c r="C15" s="208" t="str">
        <f>VLOOKUP(A15,пр.взв.!B7:E38,3,FALSE)</f>
        <v>21.03.76 мсмк</v>
      </c>
      <c r="D15" s="208" t="str">
        <f>VLOOKUP(A15,пр.взв.!B$1:G$36,4,FALSE)</f>
        <v>МОС</v>
      </c>
      <c r="E15" s="127"/>
      <c r="F15" s="133"/>
      <c r="G15" s="133"/>
      <c r="H15" s="143"/>
      <c r="I15" s="134" t="s">
        <v>148</v>
      </c>
      <c r="J15" s="128"/>
      <c r="K15" s="128"/>
      <c r="L15" s="128"/>
      <c r="M15" s="134" t="s">
        <v>149</v>
      </c>
      <c r="N15" s="140"/>
      <c r="O15" s="130"/>
      <c r="P15" s="130"/>
      <c r="Q15" s="131"/>
      <c r="R15" s="208" t="str">
        <f>VLOOKUP(U15,пр.взв.!B7:C38,2,FALSE)</f>
        <v>КРЮКОВА Ольга Владимировна</v>
      </c>
      <c r="S15" s="208" t="str">
        <f>VLOOKUP(U15,пр.взв.!B7:E38,3,FALSE)</f>
        <v>16.03.95 мс</v>
      </c>
      <c r="T15" s="219" t="str">
        <f>VLOOKUP(U15,пр.взв.!B$7:E$38,4,FALSE)</f>
        <v>ПФО</v>
      </c>
      <c r="U15" s="254">
        <v>4</v>
      </c>
      <c r="V15" s="112"/>
      <c r="W15" s="126"/>
      <c r="X15" s="116"/>
      <c r="Y15" s="115"/>
      <c r="Z15" s="113"/>
      <c r="AA15" s="113"/>
      <c r="AB15" s="113"/>
      <c r="AC15" s="4"/>
    </row>
    <row r="16" spans="1:29" ht="12.75" customHeight="1" thickBot="1">
      <c r="A16" s="229"/>
      <c r="B16" s="209"/>
      <c r="C16" s="209"/>
      <c r="D16" s="209"/>
      <c r="E16" s="132">
        <v>11</v>
      </c>
      <c r="F16" s="133"/>
      <c r="G16" s="133"/>
      <c r="H16" s="143"/>
      <c r="I16" s="128"/>
      <c r="J16" s="128"/>
      <c r="K16" s="128"/>
      <c r="L16" s="128"/>
      <c r="M16" s="130"/>
      <c r="N16" s="140"/>
      <c r="O16" s="130"/>
      <c r="P16" s="130"/>
      <c r="Q16" s="132">
        <v>4</v>
      </c>
      <c r="R16" s="209"/>
      <c r="S16" s="209"/>
      <c r="T16" s="210"/>
      <c r="U16" s="238"/>
      <c r="V16" s="112"/>
      <c r="W16" s="126"/>
      <c r="X16" s="116"/>
      <c r="Y16" s="115"/>
      <c r="Z16" s="113"/>
      <c r="AA16" s="113"/>
      <c r="AB16" s="113"/>
      <c r="AC16" s="4"/>
    </row>
    <row r="17" spans="1:29" ht="12.75" customHeight="1" thickBot="1">
      <c r="A17" s="229">
        <v>11</v>
      </c>
      <c r="B17" s="210" t="str">
        <f>VLOOKUP(A17,пр.взв.!B17:C47,2,FALSE)</f>
        <v>ГУРЦИЕВА Маргарита Касполатовна</v>
      </c>
      <c r="C17" s="210" t="str">
        <f>VLOOKUP(A17,пр.взв.!B7:E38,3,FALSE)</f>
        <v>15.04.88 мсмк</v>
      </c>
      <c r="D17" s="210" t="str">
        <f>VLOOKUP(A17,пр.взв.!B$1:G$36,4,FALSE)</f>
        <v>СКФО</v>
      </c>
      <c r="E17" s="134" t="s">
        <v>148</v>
      </c>
      <c r="F17" s="135"/>
      <c r="G17" s="133"/>
      <c r="H17" s="143"/>
      <c r="I17" s="128"/>
      <c r="J17" s="128"/>
      <c r="K17" s="128"/>
      <c r="L17" s="128"/>
      <c r="M17" s="130"/>
      <c r="N17" s="140"/>
      <c r="O17" s="130"/>
      <c r="P17" s="136"/>
      <c r="Q17" s="134" t="s">
        <v>150</v>
      </c>
      <c r="R17" s="244" t="s">
        <v>75</v>
      </c>
      <c r="S17" s="210" t="str">
        <f>VLOOKUP(U17,пр.взв.!B7:E47,3,FALSE)</f>
        <v xml:space="preserve"> 13.01.91 мс</v>
      </c>
      <c r="T17" s="212" t="str">
        <f>VLOOKUP(U17,пр.взв.!B$7:E$38,4,FALSE)</f>
        <v>МОС</v>
      </c>
      <c r="U17" s="238">
        <v>12</v>
      </c>
      <c r="V17" s="112"/>
      <c r="W17" s="126"/>
      <c r="X17" s="116"/>
      <c r="Y17" s="115"/>
      <c r="Z17" s="113"/>
      <c r="AA17" s="113"/>
      <c r="AB17" s="113"/>
      <c r="AC17" s="4"/>
    </row>
    <row r="18" spans="1:29" ht="12.75" customHeight="1" thickBot="1">
      <c r="A18" s="230"/>
      <c r="B18" s="211"/>
      <c r="C18" s="211"/>
      <c r="D18" s="211"/>
      <c r="E18" s="137"/>
      <c r="F18" s="138"/>
      <c r="G18" s="132">
        <v>11</v>
      </c>
      <c r="H18" s="147"/>
      <c r="I18" s="129" t="s">
        <v>29</v>
      </c>
      <c r="J18" s="128"/>
      <c r="K18" s="128"/>
      <c r="L18" s="128"/>
      <c r="M18" s="130"/>
      <c r="N18" s="144"/>
      <c r="O18" s="132">
        <v>4</v>
      </c>
      <c r="P18" s="140"/>
      <c r="Q18" s="131"/>
      <c r="R18" s="245"/>
      <c r="S18" s="211"/>
      <c r="T18" s="210"/>
      <c r="U18" s="239"/>
      <c r="V18" s="112"/>
      <c r="W18" s="126"/>
      <c r="X18" s="116"/>
      <c r="Y18" s="115"/>
      <c r="Z18" s="113"/>
      <c r="AA18" s="114"/>
      <c r="AB18" s="114"/>
    </row>
    <row r="19" spans="1:29" ht="12.75" customHeight="1" thickBot="1">
      <c r="A19" s="228">
        <v>7</v>
      </c>
      <c r="B19" s="208" t="str">
        <f>VLOOKUP(A19,пр.взв.!B19:C49,2,FALSE)</f>
        <v>Лугова Маргарита Витальевна</v>
      </c>
      <c r="C19" s="208" t="str">
        <f>VLOOKUP(A19,пр.взв.!B7:E38,3,FALSE)</f>
        <v>23.06.92 мс</v>
      </c>
      <c r="D19" s="208" t="str">
        <f>VLOOKUP(A19,пр.взв.!B$1:G$36,4,FALSE)</f>
        <v>СПБ</v>
      </c>
      <c r="E19" s="127"/>
      <c r="F19" s="148"/>
      <c r="G19" s="134" t="s">
        <v>151</v>
      </c>
      <c r="H19" s="471"/>
      <c r="I19" s="139"/>
      <c r="J19" s="139"/>
      <c r="K19" s="139"/>
      <c r="L19" s="139"/>
      <c r="M19" s="139"/>
      <c r="N19" s="130"/>
      <c r="O19" s="134" t="s">
        <v>148</v>
      </c>
      <c r="P19" s="140"/>
      <c r="Q19" s="131"/>
      <c r="R19" s="208" t="str">
        <f>VLOOKUP(U19,пр.взв.!B19:E49,2,FALSE)</f>
        <v>Петренко Наталья Андреевна</v>
      </c>
      <c r="S19" s="208" t="str">
        <f>VLOOKUP(U19,пр.взв.!B19:E49,3,FALSE)</f>
        <v>22.02.91 мс</v>
      </c>
      <c r="T19" s="219" t="str">
        <f>VLOOKUP(U19,пр.взв.!B$7:E$38,4,FALSE)</f>
        <v>ЮФО</v>
      </c>
      <c r="U19" s="248">
        <v>8</v>
      </c>
      <c r="V19" s="112"/>
      <c r="W19" s="123"/>
      <c r="X19" s="117"/>
      <c r="Y19" s="113"/>
      <c r="Z19" s="113"/>
      <c r="AA19" s="114"/>
      <c r="AB19" s="114"/>
    </row>
    <row r="20" spans="1:29" ht="12.75" customHeight="1">
      <c r="A20" s="229"/>
      <c r="B20" s="209"/>
      <c r="C20" s="209"/>
      <c r="D20" s="209"/>
      <c r="E20" s="132">
        <v>7</v>
      </c>
      <c r="F20" s="149"/>
      <c r="G20" s="137"/>
      <c r="H20" s="471">
        <v>11</v>
      </c>
      <c r="I20" s="515" t="str">
        <f>VLOOKUP(H20,пр.взв.!B7:H38,2,FALSE)</f>
        <v>ГУРЦИЕВА Маргарита Касполатовна</v>
      </c>
      <c r="J20" s="516"/>
      <c r="K20" s="516"/>
      <c r="L20" s="516"/>
      <c r="M20" s="517"/>
      <c r="N20" s="130"/>
      <c r="O20" s="130"/>
      <c r="P20" s="150"/>
      <c r="Q20" s="132">
        <v>8</v>
      </c>
      <c r="R20" s="209"/>
      <c r="S20" s="209"/>
      <c r="T20" s="210"/>
      <c r="U20" s="249"/>
      <c r="V20" s="112"/>
      <c r="W20" s="112"/>
      <c r="X20" s="114"/>
      <c r="Y20" s="114"/>
      <c r="Z20" s="114"/>
      <c r="AA20" s="114"/>
      <c r="AB20" s="114"/>
    </row>
    <row r="21" spans="1:29" ht="12.75" customHeight="1" thickBot="1">
      <c r="A21" s="240">
        <v>15</v>
      </c>
      <c r="B21" s="242" t="e">
        <f>VLOOKUP(A21,пр.взв.!B21:C51,2,FALSE)</f>
        <v>#N/A</v>
      </c>
      <c r="C21" s="242" t="e">
        <f>VLOOKUP(A21,пр.взв.!B7:E38,3,FALSE)</f>
        <v>#N/A</v>
      </c>
      <c r="D21" s="242" t="e">
        <f>VLOOKUP(A21,пр.взв.!B$1:G$36,4,FALSE)</f>
        <v>#N/A</v>
      </c>
      <c r="E21" s="134"/>
      <c r="F21" s="137"/>
      <c r="G21" s="137"/>
      <c r="H21" s="499"/>
      <c r="I21" s="518"/>
      <c r="J21" s="519"/>
      <c r="K21" s="519"/>
      <c r="L21" s="519"/>
      <c r="M21" s="520"/>
      <c r="N21" s="130"/>
      <c r="O21" s="130"/>
      <c r="P21" s="130"/>
      <c r="Q21" s="134"/>
      <c r="R21" s="242" t="e">
        <f>VLOOKUP(U21,пр.взв.!B21:E51,2,FALSE)</f>
        <v>#N/A</v>
      </c>
      <c r="S21" s="242" t="e">
        <f>VLOOKUP(U21,пр.взв.!B1:E51,3,FALSE)</f>
        <v>#N/A</v>
      </c>
      <c r="T21" s="246" t="e">
        <f>VLOOKUP(U21,пр.взв.!B$7:E$38,4,FALSE)</f>
        <v>#N/A</v>
      </c>
      <c r="U21" s="250">
        <v>16</v>
      </c>
      <c r="V21" s="112"/>
      <c r="W21" s="112"/>
      <c r="X21" s="114"/>
      <c r="Y21" s="114"/>
      <c r="Z21" s="114"/>
      <c r="AA21" s="114"/>
      <c r="AB21" s="114"/>
    </row>
    <row r="22" spans="1:29" ht="12.75" customHeight="1" thickBot="1">
      <c r="A22" s="241"/>
      <c r="B22" s="243"/>
      <c r="C22" s="243"/>
      <c r="D22" s="243"/>
      <c r="E22" s="137"/>
      <c r="F22" s="127"/>
      <c r="G22" s="127"/>
      <c r="H22" s="131"/>
      <c r="I22" s="131"/>
      <c r="J22" s="131"/>
      <c r="K22" s="131"/>
      <c r="L22" s="131"/>
      <c r="M22" s="131"/>
      <c r="N22" s="131"/>
      <c r="O22" s="128"/>
      <c r="P22" s="128"/>
      <c r="Q22" s="131"/>
      <c r="R22" s="243"/>
      <c r="S22" s="243"/>
      <c r="T22" s="247"/>
      <c r="U22" s="251"/>
      <c r="V22" s="112"/>
      <c r="W22" s="112"/>
      <c r="X22" s="114"/>
      <c r="Y22" s="114"/>
      <c r="Z22" s="114"/>
      <c r="AA22" s="114"/>
      <c r="AB22" s="114"/>
    </row>
    <row r="23" spans="1:29" ht="12.75" customHeight="1">
      <c r="A23" s="151"/>
      <c r="B23" s="151"/>
      <c r="C23" s="152"/>
      <c r="D23" s="123"/>
      <c r="E23" s="153"/>
      <c r="F23" s="153"/>
      <c r="G23" s="153"/>
      <c r="H23" s="214" t="s">
        <v>27</v>
      </c>
      <c r="I23" s="214"/>
      <c r="J23" s="214"/>
      <c r="K23" s="214"/>
      <c r="L23" s="214"/>
      <c r="M23" s="214"/>
      <c r="N23" s="214"/>
      <c r="O23" s="154"/>
      <c r="P23" s="154"/>
      <c r="Q23" s="131"/>
      <c r="R23" s="155"/>
      <c r="S23" s="155"/>
      <c r="T23" s="155"/>
      <c r="U23" s="112"/>
      <c r="V23" s="112"/>
      <c r="W23" s="123"/>
      <c r="X23" s="114"/>
      <c r="Y23" s="114"/>
      <c r="Z23" s="114"/>
      <c r="AA23" s="114"/>
      <c r="AB23" s="114"/>
    </row>
    <row r="24" spans="1:29" ht="12" customHeight="1" thickBot="1">
      <c r="A24" s="112"/>
      <c r="B24" s="112"/>
      <c r="C24" s="112"/>
      <c r="D24" s="156" t="s">
        <v>2</v>
      </c>
      <c r="E24" s="112"/>
      <c r="F24" s="112"/>
      <c r="G24" s="112"/>
      <c r="H24" s="112"/>
      <c r="I24" s="112"/>
      <c r="J24" s="112"/>
      <c r="K24" s="123"/>
      <c r="L24" s="123"/>
      <c r="M24" s="123"/>
      <c r="N24" s="123"/>
      <c r="O24" s="156" t="s">
        <v>3</v>
      </c>
      <c r="P24" s="123"/>
      <c r="Q24" s="123"/>
      <c r="R24" s="123"/>
      <c r="S24" s="123"/>
      <c r="T24" s="123"/>
      <c r="U24" s="157"/>
      <c r="V24" s="123"/>
      <c r="W24" s="112"/>
      <c r="X24" s="114"/>
      <c r="Y24" s="119" t="s">
        <v>72</v>
      </c>
      <c r="Z24" s="119" t="s">
        <v>73</v>
      </c>
      <c r="AA24" s="177" t="s">
        <v>73</v>
      </c>
      <c r="AB24" s="114"/>
    </row>
    <row r="25" spans="1:29" ht="12.75" customHeight="1">
      <c r="A25" s="453">
        <f>Y29</f>
        <v>5</v>
      </c>
      <c r="B25" s="454" t="str">
        <f>VLOOKUP(A25,пр.взв.!B7:E38,2,FALSE)</f>
        <v>Власова Александра Игоревна</v>
      </c>
      <c r="C25" s="455"/>
      <c r="D25" s="455"/>
      <c r="E25" s="455"/>
      <c r="F25" s="455"/>
      <c r="G25" s="455"/>
      <c r="H25" s="455"/>
      <c r="I25" s="484">
        <f>Y30</f>
        <v>6</v>
      </c>
      <c r="J25" s="485" t="str">
        <f>VLOOKUP(I25,пр.взв.!B5:D38,2,FALSE)</f>
        <v>Чемерская Анна Владимировна</v>
      </c>
      <c r="K25" s="486"/>
      <c r="L25" s="487"/>
      <c r="M25" s="481"/>
      <c r="N25" s="481"/>
      <c r="O25" s="481"/>
      <c r="P25" s="481"/>
      <c r="Q25" s="481"/>
      <c r="R25" s="481"/>
      <c r="S25" s="123"/>
      <c r="T25" s="123"/>
      <c r="U25" s="123"/>
      <c r="V25" s="123"/>
      <c r="W25" s="112"/>
      <c r="X25" s="114"/>
      <c r="Y25" s="120">
        <f>IF(G10=""," ",IF(G10=E8,E12,E8))</f>
        <v>9</v>
      </c>
      <c r="Z25" s="119">
        <f>IF(A25=""," ",IF(A25=C26,A27,A25))</f>
        <v>9</v>
      </c>
      <c r="AA25" s="119">
        <f>IF(D29=""," ",IF(D29=E32,C35,D29))</f>
        <v>7</v>
      </c>
      <c r="AB25" s="114"/>
    </row>
    <row r="26" spans="1:29" ht="12.75" customHeight="1">
      <c r="A26" s="157"/>
      <c r="B26" s="456"/>
      <c r="C26" s="457">
        <v>5</v>
      </c>
      <c r="D26" s="458"/>
      <c r="E26" s="459"/>
      <c r="F26" s="459"/>
      <c r="G26" s="459"/>
      <c r="H26" s="459"/>
      <c r="I26" s="488"/>
      <c r="J26" s="489"/>
      <c r="K26" s="490"/>
      <c r="L26" s="491"/>
      <c r="M26" s="130">
        <v>10</v>
      </c>
      <c r="N26" s="458"/>
      <c r="O26" s="458"/>
      <c r="P26" s="458"/>
      <c r="Q26" s="458"/>
      <c r="R26" s="159"/>
      <c r="S26" s="158"/>
      <c r="T26" s="158"/>
      <c r="U26" s="157"/>
      <c r="V26" s="123"/>
      <c r="W26" s="112"/>
      <c r="X26" s="114"/>
      <c r="Y26" s="120">
        <f>IF(O10=""," ",IF(O10=Q8,Q12,Q8))</f>
        <v>10</v>
      </c>
      <c r="Z26" s="119">
        <f>IF(I25=""," ",IF(I25=M26,I27,I25))</f>
        <v>6</v>
      </c>
      <c r="AA26" s="119">
        <f>IF(N29=""," ",IF(N29=Q32,M35,N29))</f>
        <v>13</v>
      </c>
      <c r="AB26" s="114"/>
    </row>
    <row r="27" spans="1:29" ht="12.75" customHeight="1">
      <c r="A27" s="460">
        <f>Y25</f>
        <v>9</v>
      </c>
      <c r="B27" s="461" t="str">
        <f>VLOOKUP(A27,пр.взв.!B7:D38,2,FALSE)</f>
        <v>Осинцева Илона Сергеевна</v>
      </c>
      <c r="C27" s="462" t="s">
        <v>150</v>
      </c>
      <c r="D27" s="458"/>
      <c r="E27" s="463"/>
      <c r="F27" s="463"/>
      <c r="G27" s="463"/>
      <c r="H27" s="463"/>
      <c r="I27" s="492">
        <f>Y26</f>
        <v>10</v>
      </c>
      <c r="J27" s="493" t="str">
        <f>VLOOKUP(I27,пр.взв.!B7:D38,2,FALSE)</f>
        <v>Вереденко Дарья Андреевна</v>
      </c>
      <c r="K27" s="494"/>
      <c r="L27" s="495"/>
      <c r="M27" s="462" t="s">
        <v>149</v>
      </c>
      <c r="N27" s="466"/>
      <c r="O27" s="466"/>
      <c r="P27" s="466"/>
      <c r="Q27" s="466"/>
      <c r="R27" s="458"/>
      <c r="S27" s="158"/>
      <c r="T27" s="158"/>
      <c r="U27" s="123"/>
      <c r="V27" s="123"/>
      <c r="W27" s="112"/>
      <c r="X27" s="114"/>
      <c r="Y27" s="120">
        <f>IF(G18=""," ",IF(G18=E16,E20,E16))</f>
        <v>7</v>
      </c>
      <c r="Z27" s="119">
        <f>IF(A31=""," ",IF(A31=C32,A33,A31))</f>
        <v>3</v>
      </c>
      <c r="AA27" s="119">
        <f>IF(C32=""," ",IF(C32=D29,C26,C32))</f>
        <v>5</v>
      </c>
      <c r="AB27" s="114"/>
    </row>
    <row r="28" spans="1:29" ht="12.75" customHeight="1" thickBot="1">
      <c r="A28" s="460"/>
      <c r="B28" s="464"/>
      <c r="C28" s="465"/>
      <c r="D28" s="458"/>
      <c r="E28" s="466"/>
      <c r="F28" s="466"/>
      <c r="G28" s="463"/>
      <c r="H28" s="463"/>
      <c r="I28" s="492"/>
      <c r="J28" s="496"/>
      <c r="K28" s="497"/>
      <c r="L28" s="498"/>
      <c r="M28" s="465"/>
      <c r="N28" s="466"/>
      <c r="O28" s="466"/>
      <c r="P28" s="466"/>
      <c r="Q28" s="466"/>
      <c r="R28" s="458"/>
      <c r="S28" s="160"/>
      <c r="T28" s="158"/>
      <c r="U28" s="123"/>
      <c r="V28" s="123"/>
      <c r="W28" s="112"/>
      <c r="X28" s="114"/>
      <c r="Y28" s="120">
        <f>IF(O18=""," ",IF(O18=Q16,Q20,Q16))</f>
        <v>8</v>
      </c>
      <c r="Z28" s="119">
        <f>IF(I31=""," ",IF(I31=M32,I33,I31))</f>
        <v>8</v>
      </c>
      <c r="AA28" s="119">
        <f>IF(M32=""," ",IF(M32=N29,M26,M32))</f>
        <v>10</v>
      </c>
      <c r="AB28" s="114"/>
    </row>
    <row r="29" spans="1:29" ht="12.75" customHeight="1">
      <c r="A29" s="460"/>
      <c r="B29" s="162"/>
      <c r="C29" s="465"/>
      <c r="D29" s="130">
        <v>7</v>
      </c>
      <c r="E29" s="466"/>
      <c r="F29" s="466"/>
      <c r="G29" s="463"/>
      <c r="H29" s="463"/>
      <c r="I29" s="492"/>
      <c r="J29" s="499"/>
      <c r="K29" s="162"/>
      <c r="L29" s="500"/>
      <c r="M29" s="465"/>
      <c r="N29" s="501">
        <v>12</v>
      </c>
      <c r="O29" s="502"/>
      <c r="P29" s="502"/>
      <c r="Q29" s="466"/>
      <c r="R29" s="458"/>
      <c r="S29" s="158"/>
      <c r="T29" s="158"/>
      <c r="U29" s="123"/>
      <c r="V29" s="123"/>
      <c r="W29" s="112"/>
      <c r="X29" s="114"/>
      <c r="Y29" s="120">
        <f>IF(G10=""," ",IF(G10=A7,A9,IF(G10=A9,A7,IF(G10=A11,A13,A11))))</f>
        <v>5</v>
      </c>
      <c r="Z29" s="119">
        <f>IF(AND(OR(A7=G10,A9=G10),A11=E12),A13,IF(AND(OR(A7=G10,A9=G10),A13=E12),A11,IF(A7=E8,A9,A7)))</f>
        <v>1</v>
      </c>
      <c r="AA29" s="119"/>
      <c r="AB29" s="114"/>
    </row>
    <row r="30" spans="1:29" ht="12.75" customHeight="1" thickBot="1">
      <c r="A30" s="460"/>
      <c r="B30" s="467"/>
      <c r="C30" s="465"/>
      <c r="D30" s="462" t="s">
        <v>149</v>
      </c>
      <c r="E30" s="466"/>
      <c r="F30" s="455" t="s">
        <v>47</v>
      </c>
      <c r="G30" s="463"/>
      <c r="H30" s="463"/>
      <c r="I30" s="492"/>
      <c r="J30" s="499"/>
      <c r="K30" s="467"/>
      <c r="L30" s="500"/>
      <c r="M30" s="465"/>
      <c r="N30" s="466"/>
      <c r="O30" s="162" t="s">
        <v>150</v>
      </c>
      <c r="P30" s="503"/>
      <c r="Q30" s="466"/>
      <c r="R30" s="455" t="s">
        <v>47</v>
      </c>
      <c r="S30" s="158"/>
      <c r="T30" s="158"/>
      <c r="U30" s="123"/>
      <c r="V30" s="123"/>
      <c r="W30" s="112"/>
      <c r="X30" s="114"/>
      <c r="Y30" s="120">
        <f>IF(O10=""," ",IF(O10=U7,U9,IF(O10=U9,U7,IF(O10=U11,U13,U11))))</f>
        <v>6</v>
      </c>
      <c r="Z30" s="119">
        <f>IF(AND(U7=O10,U11=Q12),U13,IF(AND(U7=O10,U13=Q12),U11,IF(AND(U9=O10,U11=Q12),U13,IF(AND(U9=O10,U13=Q12),U11,IF(U7=Q8,U9,U7)))))</f>
        <v>2</v>
      </c>
      <c r="AA30" s="119"/>
      <c r="AB30" s="114"/>
    </row>
    <row r="31" spans="1:29" ht="13.5" thickBot="1">
      <c r="A31" s="468">
        <v>3</v>
      </c>
      <c r="B31" s="454" t="str">
        <f>VLOOKUP(A31,пр.взв.!B7:D38,2,FALSE)</f>
        <v>НАЗАРЕНКО Олеся Евгеньевна</v>
      </c>
      <c r="C31" s="469"/>
      <c r="D31" s="470"/>
      <c r="E31" s="471"/>
      <c r="F31" s="466"/>
      <c r="G31" s="466"/>
      <c r="H31" s="466"/>
      <c r="I31" s="482">
        <f>Y32</f>
        <v>12</v>
      </c>
      <c r="J31" s="485" t="str">
        <f>VLOOKUP(I31,пр.взв.!B7:D38,2,FALSE)</f>
        <v xml:space="preserve"> Кабанова Екатерина Александровна</v>
      </c>
      <c r="K31" s="486"/>
      <c r="L31" s="487"/>
      <c r="M31" s="469"/>
      <c r="N31" s="466"/>
      <c r="O31" s="466"/>
      <c r="P31" s="504"/>
      <c r="Q31" s="466"/>
      <c r="R31" s="458"/>
      <c r="S31" s="158"/>
      <c r="T31" s="158"/>
      <c r="U31" s="123"/>
      <c r="V31" s="123"/>
      <c r="W31" s="112"/>
      <c r="X31" s="114"/>
      <c r="Y31" s="120">
        <f>IF(G18=""," ",IF(G18=A15,A17,IF(G18=A15,A17,IF(G18=A19,A21,A19))))</f>
        <v>7</v>
      </c>
      <c r="Z31" s="119">
        <f>IF(AND(OR(A15=G18,A17=G18),A19=E20),A21,IF(AND(OR(A15=G18,A17=G18),A21=E20),A19,IF(A15=E16,A17,A15)))</f>
        <v>15</v>
      </c>
      <c r="AA31" s="119"/>
      <c r="AB31" s="114"/>
    </row>
    <row r="32" spans="1:29" ht="13.5" customHeight="1">
      <c r="A32" s="468"/>
      <c r="B32" s="456"/>
      <c r="C32" s="472">
        <v>7</v>
      </c>
      <c r="D32" s="470"/>
      <c r="E32" s="161">
        <v>4</v>
      </c>
      <c r="F32" s="473" t="str">
        <f>VLOOKUP(E32,пр.взв.!B7:D38,2,FALSE)</f>
        <v>КРЮКОВА Ольга Владимировна</v>
      </c>
      <c r="G32" s="474"/>
      <c r="H32" s="475"/>
      <c r="I32" s="505"/>
      <c r="J32" s="489"/>
      <c r="K32" s="490"/>
      <c r="L32" s="491"/>
      <c r="M32" s="472">
        <v>12</v>
      </c>
      <c r="N32" s="506"/>
      <c r="O32" s="506"/>
      <c r="P32" s="504"/>
      <c r="Q32" s="161">
        <v>12</v>
      </c>
      <c r="R32" s="507" t="str">
        <f>VLOOKUP(Q32,пр.взв.!B7:D38,2,FALSE)</f>
        <v xml:space="preserve"> Кабанова Екатерина Александровна</v>
      </c>
      <c r="S32" s="163"/>
      <c r="T32" s="163"/>
      <c r="U32" s="163"/>
      <c r="V32" s="123"/>
      <c r="W32" s="112"/>
      <c r="X32" s="114"/>
      <c r="Y32" s="120">
        <f>IF(O18=""," ",IF(O18=U15,U17,IF(O18=U17,U15,IF(O18=U19,U21,U19))))</f>
        <v>12</v>
      </c>
      <c r="Z32" s="119">
        <f>IF(AND(U15=O18,U19=Q20),U21,IF(AND(U15=O18,U21=Q20),U19,IF(AND(U17=O18,U19=Q20),U21,IF(AND(U17=O18,U21=Q20),U19,IF(U15=Q16,U17,U15)))))</f>
        <v>16</v>
      </c>
      <c r="AA32" s="119"/>
      <c r="AB32" s="114"/>
    </row>
    <row r="33" spans="1:28" ht="13.5" customHeight="1" thickBot="1">
      <c r="A33" s="468">
        <f>Y27</f>
        <v>7</v>
      </c>
      <c r="B33" s="461" t="str">
        <f>VLOOKUP(A33,пр.взв.!B7:E38,2,FALSE)</f>
        <v>Лугова Маргарита Витальевна</v>
      </c>
      <c r="C33" s="162" t="s">
        <v>148</v>
      </c>
      <c r="D33" s="470"/>
      <c r="E33" s="476" t="s">
        <v>151</v>
      </c>
      <c r="F33" s="477"/>
      <c r="G33" s="478"/>
      <c r="H33" s="479"/>
      <c r="I33" s="505">
        <f>Y28</f>
        <v>8</v>
      </c>
      <c r="J33" s="493" t="str">
        <f>VLOOKUP(I33,пр.взв.!B7:D38,2,FALSE)</f>
        <v>Петренко Наталья Андреевна</v>
      </c>
      <c r="K33" s="494"/>
      <c r="L33" s="495"/>
      <c r="M33" s="508" t="s">
        <v>148</v>
      </c>
      <c r="N33" s="506"/>
      <c r="O33" s="506"/>
      <c r="P33" s="504"/>
      <c r="Q33" s="162" t="s">
        <v>149</v>
      </c>
      <c r="R33" s="509"/>
      <c r="S33" s="163"/>
      <c r="T33" s="163"/>
      <c r="U33" s="163"/>
      <c r="V33" s="123"/>
      <c r="W33" s="112"/>
      <c r="X33" s="114"/>
      <c r="Y33" s="118">
        <f>IF(G10=I14,G18,G10)</f>
        <v>13</v>
      </c>
      <c r="Z33" s="114"/>
      <c r="AA33" s="114"/>
      <c r="AB33" s="114"/>
    </row>
    <row r="34" spans="1:28" ht="13.5" customHeight="1" thickBot="1">
      <c r="A34" s="480"/>
      <c r="B34" s="464"/>
      <c r="C34" s="458"/>
      <c r="D34" s="470"/>
      <c r="E34" s="466"/>
      <c r="F34" s="466"/>
      <c r="G34" s="466"/>
      <c r="H34" s="466"/>
      <c r="I34" s="505"/>
      <c r="J34" s="496"/>
      <c r="K34" s="497"/>
      <c r="L34" s="498"/>
      <c r="M34" s="466"/>
      <c r="N34" s="466"/>
      <c r="O34" s="466"/>
      <c r="P34" s="504"/>
      <c r="Q34" s="466"/>
      <c r="R34" s="458"/>
      <c r="S34" s="158"/>
      <c r="T34" s="158"/>
      <c r="U34" s="123"/>
      <c r="V34" s="123"/>
      <c r="W34" s="112"/>
      <c r="X34" s="114"/>
      <c r="Y34" s="118">
        <f>IF(O10=M14,O18,O10)</f>
        <v>4</v>
      </c>
      <c r="Z34" s="114"/>
      <c r="AA34" s="114"/>
      <c r="AB34" s="114"/>
    </row>
    <row r="35" spans="1:28">
      <c r="A35" s="481"/>
      <c r="B35" s="458"/>
      <c r="C35" s="482">
        <f>Y34</f>
        <v>4</v>
      </c>
      <c r="D35" s="454" t="str">
        <f>VLOOKUP(C35,пр.взв.!B7:D38,2,FALSE)</f>
        <v>КРЮКОВА Ольга Владимировна</v>
      </c>
      <c r="E35" s="466"/>
      <c r="F35" s="466"/>
      <c r="G35" s="466"/>
      <c r="H35" s="466"/>
      <c r="I35" s="471"/>
      <c r="J35" s="463"/>
      <c r="K35" s="466"/>
      <c r="L35" s="466"/>
      <c r="M35" s="482">
        <f>Y33</f>
        <v>13</v>
      </c>
      <c r="N35" s="485" t="str">
        <f>VLOOKUP(M35,пр.взв.!B7:D38,2,FALSE)</f>
        <v xml:space="preserve">Станкевич Виктория Владимировна </v>
      </c>
      <c r="O35" s="510"/>
      <c r="P35" s="511"/>
      <c r="Q35" s="466"/>
      <c r="R35" s="458"/>
      <c r="S35" s="158"/>
      <c r="T35" s="158"/>
      <c r="U35" s="123"/>
      <c r="V35" s="123"/>
      <c r="W35" s="112"/>
      <c r="X35" s="114"/>
      <c r="Y35" s="114"/>
      <c r="Z35" s="114"/>
      <c r="AA35" s="114"/>
      <c r="AB35" s="114"/>
    </row>
    <row r="36" spans="1:28" ht="13.5" thickBot="1">
      <c r="A36" s="455"/>
      <c r="B36" s="458"/>
      <c r="C36" s="483"/>
      <c r="D36" s="464"/>
      <c r="E36" s="466"/>
      <c r="F36" s="466"/>
      <c r="G36" s="466"/>
      <c r="H36" s="466"/>
      <c r="I36" s="466"/>
      <c r="J36" s="463"/>
      <c r="K36" s="466"/>
      <c r="L36" s="466"/>
      <c r="M36" s="466"/>
      <c r="N36" s="512"/>
      <c r="O36" s="513"/>
      <c r="P36" s="514"/>
      <c r="Q36" s="466"/>
      <c r="R36" s="458"/>
      <c r="S36" s="158"/>
      <c r="T36" s="158"/>
      <c r="U36" s="123"/>
      <c r="V36" s="123"/>
      <c r="W36" s="112"/>
      <c r="X36" s="114"/>
      <c r="Y36" s="114"/>
      <c r="Z36" s="114"/>
      <c r="AA36" s="114"/>
      <c r="AB36" s="114"/>
    </row>
    <row r="37" spans="1:28">
      <c r="A37" s="164"/>
      <c r="B37" s="165"/>
      <c r="C37" s="165"/>
      <c r="D37" s="166"/>
      <c r="E37" s="167"/>
      <c r="F37" s="167"/>
      <c r="G37" s="167"/>
      <c r="H37" s="168"/>
      <c r="I37" s="168"/>
      <c r="J37" s="168"/>
      <c r="K37" s="167"/>
      <c r="L37" s="167"/>
      <c r="M37" s="167"/>
      <c r="N37" s="167"/>
      <c r="O37" s="167"/>
      <c r="P37" s="167"/>
      <c r="Q37" s="167"/>
      <c r="R37" s="165"/>
      <c r="S37" s="165"/>
      <c r="T37" s="165"/>
      <c r="U37" s="165"/>
      <c r="V37" s="165"/>
      <c r="W37" s="112"/>
      <c r="X37" s="114"/>
      <c r="Y37" s="114"/>
      <c r="Z37" s="114"/>
      <c r="AA37" s="114"/>
      <c r="AB37" s="114"/>
    </row>
    <row r="38" spans="1:28" ht="15.75">
      <c r="A38" s="213" t="str">
        <f>HYPERLINK([1]реквизиты!$A$6)</f>
        <v>Гл. судья, судья МК</v>
      </c>
      <c r="B38" s="213"/>
      <c r="C38" s="213"/>
      <c r="D38" s="112"/>
      <c r="E38" s="169"/>
      <c r="F38" s="170"/>
      <c r="G38" s="112"/>
      <c r="H38" s="112"/>
      <c r="I38" s="112"/>
      <c r="J38" s="171" t="str">
        <f>[1]реквизиты!$G$6</f>
        <v>Р.М. Бабоян</v>
      </c>
      <c r="K38" s="124"/>
      <c r="L38" s="112"/>
      <c r="M38" s="112"/>
      <c r="N38" s="153"/>
      <c r="O38" s="172" t="str">
        <f>[1]реквизиты!$G$7</f>
        <v>/ г. Армавир /</v>
      </c>
      <c r="P38" s="153"/>
      <c r="Q38" s="153"/>
      <c r="R38" s="123"/>
      <c r="S38" s="123"/>
      <c r="T38" s="123"/>
      <c r="U38" s="123"/>
      <c r="V38" s="123"/>
      <c r="W38" s="112"/>
      <c r="X38" s="114"/>
      <c r="Y38" s="114"/>
      <c r="Z38" s="114"/>
      <c r="AA38" s="114"/>
      <c r="AB38" s="114"/>
    </row>
    <row r="39" spans="1:28">
      <c r="A39" s="155"/>
      <c r="B39" s="155"/>
      <c r="C39" s="155"/>
      <c r="D39" s="123"/>
      <c r="E39" s="153"/>
      <c r="F39" s="153"/>
      <c r="G39" s="153"/>
      <c r="H39" s="153"/>
      <c r="I39" s="153"/>
      <c r="J39" s="131"/>
      <c r="K39" s="131"/>
      <c r="L39" s="131"/>
      <c r="M39" s="131"/>
      <c r="N39" s="131"/>
      <c r="O39" s="131"/>
      <c r="P39" s="131"/>
      <c r="Q39" s="131"/>
      <c r="R39" s="112"/>
      <c r="S39" s="112"/>
      <c r="T39" s="112"/>
      <c r="U39" s="112"/>
      <c r="V39" s="112"/>
      <c r="W39" s="112"/>
      <c r="X39" s="114"/>
      <c r="Y39" s="114"/>
      <c r="Z39" s="114"/>
      <c r="AA39" s="114"/>
      <c r="AB39" s="114"/>
    </row>
    <row r="40" spans="1:28" ht="15.75">
      <c r="A40" s="173" t="str">
        <f>HYPERLINK([1]реквизиты!$A$8)</f>
        <v>Гл. секретарь, судья МК</v>
      </c>
      <c r="B40" s="174"/>
      <c r="C40" s="175"/>
      <c r="D40" s="176"/>
      <c r="E40" s="176"/>
      <c r="F40" s="123"/>
      <c r="G40" s="123"/>
      <c r="H40" s="123"/>
      <c r="I40" s="123"/>
      <c r="J40" s="171" t="str">
        <f>[1]реквизиты!$G$8</f>
        <v>Р.М. Закиров</v>
      </c>
      <c r="K40" s="153"/>
      <c r="L40" s="153"/>
      <c r="M40" s="153"/>
      <c r="N40" s="112"/>
      <c r="O40" s="172" t="str">
        <f>[1]реквизиты!$G$9</f>
        <v>/  г. Пермь /</v>
      </c>
      <c r="P40" s="131"/>
      <c r="Q40" s="112"/>
      <c r="R40" s="112"/>
      <c r="S40" s="112"/>
      <c r="T40" s="112"/>
      <c r="U40" s="112"/>
      <c r="V40" s="112"/>
      <c r="W40" s="112"/>
      <c r="X40" s="114"/>
      <c r="Y40" s="114"/>
      <c r="Z40" s="114"/>
      <c r="AA40" s="114"/>
      <c r="AB40" s="114"/>
    </row>
    <row r="41" spans="1:28" ht="15">
      <c r="A41" s="112"/>
      <c r="B41" s="112"/>
      <c r="C41" s="112"/>
      <c r="D41" s="170"/>
      <c r="E41" s="170"/>
      <c r="F41" s="170"/>
      <c r="G41" s="176"/>
      <c r="H41" s="176"/>
      <c r="I41" s="123"/>
      <c r="J41" s="123"/>
      <c r="K41" s="123"/>
      <c r="L41" s="123"/>
      <c r="M41" s="153"/>
      <c r="N41" s="153"/>
      <c r="O41" s="153"/>
      <c r="P41" s="153"/>
      <c r="Q41" s="123"/>
      <c r="R41" s="124"/>
      <c r="S41" s="131"/>
      <c r="T41" s="131"/>
      <c r="U41" s="112"/>
      <c r="V41" s="112"/>
      <c r="W41" s="112"/>
      <c r="X41" s="114"/>
    </row>
    <row r="42" spans="1:28" ht="15">
      <c r="D42" s="63"/>
      <c r="E42" s="63"/>
      <c r="F42" s="64"/>
      <c r="G42" s="66"/>
      <c r="H42" s="66"/>
      <c r="I42" s="4"/>
      <c r="J42" s="4"/>
      <c r="K42" s="4"/>
      <c r="L42" s="4"/>
      <c r="M42" s="59"/>
      <c r="N42" s="59"/>
      <c r="O42" s="59"/>
      <c r="P42" s="59"/>
      <c r="Q42" s="66"/>
      <c r="R42" s="5"/>
      <c r="S42" s="60"/>
      <c r="T42" s="60"/>
    </row>
    <row r="43" spans="1:28">
      <c r="J43" s="4"/>
      <c r="K43" s="4"/>
      <c r="L43" s="4"/>
      <c r="M43" s="4"/>
      <c r="N43" s="4"/>
      <c r="O43" s="4"/>
      <c r="P43" s="4"/>
      <c r="Q43" s="4"/>
      <c r="S43" s="60"/>
      <c r="T43" s="60"/>
    </row>
    <row r="44" spans="1:28" ht="15">
      <c r="B44" s="50" t="str">
        <f>HYPERLINK([1]реквизиты!$A$22)</f>
        <v/>
      </c>
      <c r="C44" s="49"/>
      <c r="D44" s="63"/>
      <c r="E44" s="63"/>
      <c r="F44" s="63"/>
      <c r="G44" s="5"/>
      <c r="H44" s="5"/>
      <c r="M44" s="52" t="str">
        <f>HYPERLINK([1]реквизиты!$G$23)</f>
        <v/>
      </c>
      <c r="O44" s="60"/>
      <c r="P44" s="60"/>
      <c r="R44" s="5"/>
    </row>
    <row r="45" spans="1:28">
      <c r="E45" s="60"/>
      <c r="F45" s="60"/>
      <c r="G45" s="60"/>
      <c r="H45" s="60"/>
      <c r="I45" s="60"/>
      <c r="J45" s="60"/>
      <c r="K45" s="60"/>
      <c r="L45" s="60"/>
      <c r="M45" s="60"/>
      <c r="N45" s="60"/>
      <c r="O45" s="60"/>
      <c r="P45" s="60"/>
      <c r="Q45" s="60"/>
    </row>
    <row r="55" spans="4:9">
      <c r="D55" s="4"/>
    </row>
    <row r="57" spans="4:9">
      <c r="E57" s="4"/>
      <c r="F57" s="4"/>
      <c r="G57" s="4"/>
      <c r="H57" s="4"/>
      <c r="I57" s="4"/>
    </row>
  </sheetData>
  <sheetProtection password="CCC7" sheet="1" formatCells="0" formatColumns="0" formatRows="0" insertColumns="0" insertRows="0" insertHyperlinks="0" deleteColumns="0" deleteRows="0" sort="0" autoFilter="0" pivotTables="0"/>
  <mergeCells count="90">
    <mergeCell ref="A1:U1"/>
    <mergeCell ref="A2:U2"/>
    <mergeCell ref="A15:A16"/>
    <mergeCell ref="B15:B16"/>
    <mergeCell ref="C15:C16"/>
    <mergeCell ref="A11:A12"/>
    <mergeCell ref="B11:B12"/>
    <mergeCell ref="C11:C12"/>
    <mergeCell ref="U7:U8"/>
    <mergeCell ref="U9:U10"/>
    <mergeCell ref="U11:U12"/>
    <mergeCell ref="U13:U14"/>
    <mergeCell ref="U15:U16"/>
    <mergeCell ref="T13:T14"/>
    <mergeCell ref="A9:A10"/>
    <mergeCell ref="B9:B10"/>
    <mergeCell ref="D21:D22"/>
    <mergeCell ref="U19:U20"/>
    <mergeCell ref="U21:U22"/>
    <mergeCell ref="R19:R20"/>
    <mergeCell ref="R21:R22"/>
    <mergeCell ref="D19:D20"/>
    <mergeCell ref="U17:U18"/>
    <mergeCell ref="A21:A22"/>
    <mergeCell ref="B21:B22"/>
    <mergeCell ref="C21:C22"/>
    <mergeCell ref="A17:A18"/>
    <mergeCell ref="B17:B18"/>
    <mergeCell ref="C17:C18"/>
    <mergeCell ref="A19:A20"/>
    <mergeCell ref="B19:B20"/>
    <mergeCell ref="C19:C20"/>
    <mergeCell ref="D17:D18"/>
    <mergeCell ref="R17:R18"/>
    <mergeCell ref="T21:T22"/>
    <mergeCell ref="T19:T20"/>
    <mergeCell ref="S21:S22"/>
    <mergeCell ref="S19:S20"/>
    <mergeCell ref="F14:G14"/>
    <mergeCell ref="C9:C10"/>
    <mergeCell ref="I8:M9"/>
    <mergeCell ref="R9:R10"/>
    <mergeCell ref="T9:T10"/>
    <mergeCell ref="S9:S10"/>
    <mergeCell ref="A6:B6"/>
    <mergeCell ref="B7:B8"/>
    <mergeCell ref="C7:C8"/>
    <mergeCell ref="A7:A8"/>
    <mergeCell ref="T15:T16"/>
    <mergeCell ref="D15:D16"/>
    <mergeCell ref="T7:T8"/>
    <mergeCell ref="D13:D14"/>
    <mergeCell ref="S13:S14"/>
    <mergeCell ref="R13:R14"/>
    <mergeCell ref="R11:R12"/>
    <mergeCell ref="S15:S16"/>
    <mergeCell ref="A13:A14"/>
    <mergeCell ref="B13:B14"/>
    <mergeCell ref="C13:C14"/>
    <mergeCell ref="T11:T12"/>
    <mergeCell ref="C3:R3"/>
    <mergeCell ref="C4:R4"/>
    <mergeCell ref="S7:S8"/>
    <mergeCell ref="D11:D12"/>
    <mergeCell ref="R7:R8"/>
    <mergeCell ref="D7:D8"/>
    <mergeCell ref="D9:D10"/>
    <mergeCell ref="J5:L5"/>
    <mergeCell ref="M5:O5"/>
    <mergeCell ref="J12:L12"/>
    <mergeCell ref="S11:S12"/>
    <mergeCell ref="A38:C38"/>
    <mergeCell ref="N35:P36"/>
    <mergeCell ref="D35:D36"/>
    <mergeCell ref="B25:B26"/>
    <mergeCell ref="B27:B28"/>
    <mergeCell ref="B31:B32"/>
    <mergeCell ref="B33:B34"/>
    <mergeCell ref="J25:L26"/>
    <mergeCell ref="F32:H33"/>
    <mergeCell ref="N29:P29"/>
    <mergeCell ref="J27:L28"/>
    <mergeCell ref="J31:L32"/>
    <mergeCell ref="J33:L34"/>
    <mergeCell ref="R15:R16"/>
    <mergeCell ref="I20:M21"/>
    <mergeCell ref="S17:S18"/>
    <mergeCell ref="T17:T18"/>
    <mergeCell ref="R32:R33"/>
    <mergeCell ref="H23:N23"/>
  </mergeCells>
  <phoneticPr fontId="0" type="noConversion"/>
  <printOptions horizontalCentered="1" verticalCentered="1"/>
  <pageMargins left="0.39370078740157483" right="0" top="0" bottom="0" header="0.51181102362204722" footer="0.51181102362204722"/>
  <pageSetup paperSize="9" orientation="landscape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indexed="46"/>
  </sheetPr>
  <dimension ref="A1:T62"/>
  <sheetViews>
    <sheetView topLeftCell="A3" workbookViewId="0">
      <selection activeCell="U58" sqref="A58:XFD62"/>
    </sheetView>
  </sheetViews>
  <sheetFormatPr defaultRowHeight="12.75"/>
  <cols>
    <col min="1" max="2" width="4.140625" customWidth="1"/>
    <col min="3" max="3" width="22.7109375" customWidth="1"/>
    <col min="5" max="5" width="8.28515625" customWidth="1"/>
    <col min="6" max="6" width="10.140625" customWidth="1"/>
    <col min="7" max="7" width="19" customWidth="1"/>
    <col min="8" max="8" width="5.140625" customWidth="1"/>
    <col min="9" max="9" width="5.85546875" customWidth="1"/>
    <col min="11" max="11" width="4.42578125" customWidth="1"/>
    <col min="12" max="12" width="4.5703125" customWidth="1"/>
    <col min="13" max="13" width="22.7109375" customWidth="1"/>
    <col min="15" max="15" width="7.7109375" customWidth="1"/>
    <col min="16" max="16" width="11" customWidth="1"/>
    <col min="17" max="17" width="20" customWidth="1"/>
    <col min="18" max="18" width="5" customWidth="1"/>
    <col min="19" max="19" width="5.42578125" customWidth="1"/>
  </cols>
  <sheetData>
    <row r="1" spans="1:20" ht="15.75" customHeight="1">
      <c r="B1" s="331" t="s">
        <v>40</v>
      </c>
      <c r="C1" s="331"/>
      <c r="D1" s="331"/>
      <c r="E1" s="331"/>
      <c r="F1" s="331"/>
      <c r="G1" s="331"/>
      <c r="H1" s="331"/>
      <c r="I1" s="331"/>
      <c r="J1" s="331"/>
      <c r="L1" s="331" t="s">
        <v>40</v>
      </c>
      <c r="M1" s="331"/>
      <c r="N1" s="331"/>
      <c r="O1" s="331"/>
      <c r="P1" s="331"/>
      <c r="Q1" s="331"/>
      <c r="R1" s="331"/>
      <c r="S1" s="331"/>
      <c r="T1" s="331"/>
    </row>
    <row r="2" spans="1:20" ht="15.75" customHeight="1">
      <c r="B2" s="332" t="str">
        <f>пр.взв.!D4</f>
        <v>в.к. 68  кг.</v>
      </c>
      <c r="C2" s="333"/>
      <c r="D2" s="333"/>
      <c r="E2" s="333"/>
      <c r="F2" s="333"/>
      <c r="G2" s="333"/>
      <c r="H2" s="333"/>
      <c r="I2" s="333"/>
      <c r="J2" s="333"/>
      <c r="L2" s="332" t="str">
        <f>B2</f>
        <v>в.к. 68  кг.</v>
      </c>
      <c r="M2" s="333"/>
      <c r="N2" s="333"/>
      <c r="O2" s="333"/>
      <c r="P2" s="333"/>
      <c r="Q2" s="333"/>
      <c r="R2" s="333"/>
      <c r="S2" s="333"/>
      <c r="T2" s="333"/>
    </row>
    <row r="4" spans="1:20" ht="16.5" hidden="1" thickBot="1">
      <c r="B4" s="75" t="s">
        <v>35</v>
      </c>
      <c r="C4" s="77" t="s">
        <v>145</v>
      </c>
      <c r="D4" s="76" t="s">
        <v>38</v>
      </c>
      <c r="E4" s="76"/>
      <c r="F4" s="77"/>
      <c r="G4" s="75"/>
      <c r="H4" s="77"/>
      <c r="I4" s="77"/>
      <c r="J4" s="77"/>
      <c r="K4" s="77"/>
      <c r="L4" s="75" t="s">
        <v>1</v>
      </c>
      <c r="M4" s="77" t="s">
        <v>41</v>
      </c>
      <c r="N4" s="76" t="s">
        <v>38</v>
      </c>
      <c r="O4" s="76"/>
      <c r="P4" s="77"/>
      <c r="Q4" s="75"/>
      <c r="R4" s="77"/>
      <c r="S4" s="77"/>
      <c r="T4" s="77"/>
    </row>
    <row r="5" spans="1:20" ht="12.75" hidden="1" customHeight="1">
      <c r="A5" s="300" t="s">
        <v>42</v>
      </c>
      <c r="B5" s="329" t="s">
        <v>4</v>
      </c>
      <c r="C5" s="293" t="s">
        <v>5</v>
      </c>
      <c r="D5" s="282" t="s">
        <v>13</v>
      </c>
      <c r="E5" s="306" t="s">
        <v>14</v>
      </c>
      <c r="F5" s="307"/>
      <c r="G5" s="293" t="s">
        <v>15</v>
      </c>
      <c r="H5" s="296" t="s">
        <v>43</v>
      </c>
      <c r="I5" s="298" t="s">
        <v>16</v>
      </c>
      <c r="J5" s="285" t="s">
        <v>17</v>
      </c>
      <c r="K5" s="300" t="s">
        <v>42</v>
      </c>
      <c r="L5" s="329" t="s">
        <v>4</v>
      </c>
      <c r="M5" s="293" t="s">
        <v>5</v>
      </c>
      <c r="N5" s="282" t="s">
        <v>13</v>
      </c>
      <c r="O5" s="306" t="s">
        <v>14</v>
      </c>
      <c r="P5" s="307"/>
      <c r="Q5" s="293" t="s">
        <v>15</v>
      </c>
      <c r="R5" s="296" t="s">
        <v>43</v>
      </c>
      <c r="S5" s="298" t="s">
        <v>16</v>
      </c>
      <c r="T5" s="285" t="s">
        <v>17</v>
      </c>
    </row>
    <row r="6" spans="1:20" ht="13.5" hidden="1" customHeight="1" thickBot="1">
      <c r="A6" s="301"/>
      <c r="B6" s="330" t="s">
        <v>36</v>
      </c>
      <c r="C6" s="294"/>
      <c r="D6" s="295"/>
      <c r="E6" s="308"/>
      <c r="F6" s="309"/>
      <c r="G6" s="294"/>
      <c r="H6" s="297"/>
      <c r="I6" s="299"/>
      <c r="J6" s="286" t="s">
        <v>37</v>
      </c>
      <c r="K6" s="301"/>
      <c r="L6" s="330" t="s">
        <v>36</v>
      </c>
      <c r="M6" s="294"/>
      <c r="N6" s="295"/>
      <c r="O6" s="308"/>
      <c r="P6" s="309"/>
      <c r="Q6" s="294"/>
      <c r="R6" s="297"/>
      <c r="S6" s="299"/>
      <c r="T6" s="286" t="s">
        <v>37</v>
      </c>
    </row>
    <row r="7" spans="1:20" ht="12.75" hidden="1" customHeight="1">
      <c r="A7" s="322">
        <v>1</v>
      </c>
      <c r="B7" s="326">
        <v>1</v>
      </c>
      <c r="C7" s="288" t="str">
        <f>VLOOKUP(B7,пр.взв.!B7:E70,2,FALSE)</f>
        <v>Куцар Яна Олеговна</v>
      </c>
      <c r="D7" s="262" t="str">
        <f>VLOOKUP(B7,пр.взв.!B7:F106,3,FALSE)</f>
        <v>29.05.96 кмс</v>
      </c>
      <c r="E7" s="262" t="str">
        <f>VLOOKUP(C7,пр.взв.!C7:G106,3,FALSE)</f>
        <v>ЦФО</v>
      </c>
      <c r="F7" s="262" t="str">
        <f>VLOOKUP(B7,пр.взв.!B7:G106,5,FALSE)</f>
        <v>Московская</v>
      </c>
      <c r="G7" s="266"/>
      <c r="H7" s="267"/>
      <c r="I7" s="268"/>
      <c r="J7" s="193"/>
      <c r="K7" s="322">
        <v>5</v>
      </c>
      <c r="L7" s="326">
        <v>2</v>
      </c>
      <c r="M7" s="279" t="str">
        <f>VLOOKUP(L7,пр.взв.!B7:E70,2,FALSE)</f>
        <v>Агеева Татьяна Андреевна</v>
      </c>
      <c r="N7" s="262" t="str">
        <f>VLOOKUP(L7,пр.взв.!B7:F106,3,FALSE)</f>
        <v>06.04.93 мс</v>
      </c>
      <c r="O7" s="262" t="str">
        <f>VLOOKUP(M7,пр.взв.!C7:G106,3,FALSE)</f>
        <v>МОС</v>
      </c>
      <c r="P7" s="262" t="str">
        <f>VLOOKUP(L7,пр.взв.!B7:G106,5,FALSE)</f>
        <v xml:space="preserve">Москва </v>
      </c>
      <c r="Q7" s="266"/>
      <c r="R7" s="267"/>
      <c r="S7" s="268"/>
      <c r="T7" s="193"/>
    </row>
    <row r="8" spans="1:20" ht="12.75" hidden="1" customHeight="1">
      <c r="A8" s="323"/>
      <c r="B8" s="319"/>
      <c r="C8" s="289"/>
      <c r="D8" s="265"/>
      <c r="E8" s="265"/>
      <c r="F8" s="265"/>
      <c r="G8" s="265"/>
      <c r="H8" s="265"/>
      <c r="I8" s="269"/>
      <c r="J8" s="181"/>
      <c r="K8" s="323"/>
      <c r="L8" s="319"/>
      <c r="M8" s="275"/>
      <c r="N8" s="265"/>
      <c r="O8" s="265"/>
      <c r="P8" s="265"/>
      <c r="Q8" s="265"/>
      <c r="R8" s="265"/>
      <c r="S8" s="269"/>
      <c r="T8" s="181"/>
    </row>
    <row r="9" spans="1:20" ht="12.75" hidden="1" customHeight="1">
      <c r="A9" s="323"/>
      <c r="B9" s="319">
        <v>9</v>
      </c>
      <c r="C9" s="258" t="str">
        <f>VLOOKUP(B9,пр.взв.!B7:E70,2,FALSE)</f>
        <v>Осинцева Илона Сергеевна</v>
      </c>
      <c r="D9" s="260" t="str">
        <f>VLOOKUP(B9,пр.взв.!B7:F108,3,FALSE)</f>
        <v>12.03.95 мс</v>
      </c>
      <c r="E9" s="260" t="str">
        <f>VLOOKUP(C9,пр.взв.!C7:G108,3,FALSE)</f>
        <v>УФО</v>
      </c>
      <c r="F9" s="260" t="str">
        <f>VLOOKUP(B9,пр.взв.!B9:G108,5,FALSE)</f>
        <v>Курганская, Шадринск</v>
      </c>
      <c r="G9" s="263"/>
      <c r="H9" s="263"/>
      <c r="I9" s="192"/>
      <c r="J9" s="192"/>
      <c r="K9" s="323"/>
      <c r="L9" s="319">
        <v>10</v>
      </c>
      <c r="M9" s="276" t="str">
        <f>VLOOKUP(L9,пр.взв.!B7:E70,2,FALSE)</f>
        <v>Вереденко Дарья Андреевна</v>
      </c>
      <c r="N9" s="260" t="str">
        <f>VLOOKUP(L9,пр.взв.!B7:F108,3,FALSE)</f>
        <v>12.06.95 мс</v>
      </c>
      <c r="O9" s="260" t="str">
        <f>VLOOKUP(M9,пр.взв.!C7:G108,3,FALSE)</f>
        <v>ДФО</v>
      </c>
      <c r="P9" s="260" t="str">
        <f>VLOOKUP(L9,пр.взв.!B9:G108,5,FALSE)</f>
        <v>Приморский</v>
      </c>
      <c r="Q9" s="263"/>
      <c r="R9" s="263"/>
      <c r="S9" s="192"/>
      <c r="T9" s="192"/>
    </row>
    <row r="10" spans="1:20" ht="13.5" hidden="1" customHeight="1" thickBot="1">
      <c r="A10" s="324"/>
      <c r="B10" s="321"/>
      <c r="C10" s="259"/>
      <c r="D10" s="261"/>
      <c r="E10" s="261"/>
      <c r="F10" s="261"/>
      <c r="G10" s="264"/>
      <c r="H10" s="264"/>
      <c r="I10" s="278"/>
      <c r="J10" s="278"/>
      <c r="K10" s="324"/>
      <c r="L10" s="321"/>
      <c r="M10" s="277"/>
      <c r="N10" s="261"/>
      <c r="O10" s="261"/>
      <c r="P10" s="261"/>
      <c r="Q10" s="264"/>
      <c r="R10" s="264"/>
      <c r="S10" s="278"/>
      <c r="T10" s="278"/>
    </row>
    <row r="11" spans="1:20" ht="12.75" hidden="1" customHeight="1">
      <c r="A11" s="322">
        <v>2</v>
      </c>
      <c r="B11" s="327">
        <v>5</v>
      </c>
      <c r="C11" s="317" t="str">
        <f>VLOOKUP(B11,пр.взв.!B7:E70,2,FALSE)</f>
        <v>Власова Александра Игоревна</v>
      </c>
      <c r="D11" s="311" t="str">
        <f>VLOOKUP(B11,пр.взв.!B7:F110,3,FALSE)</f>
        <v>15.05.96 кмс</v>
      </c>
      <c r="E11" s="311" t="str">
        <f>VLOOKUP(C11,пр.взв.!C7:G110,3,FALSE)</f>
        <v>ПФО</v>
      </c>
      <c r="F11" s="262" t="str">
        <f>VLOOKUP(B11,пр.взв.!B11:G110,5,FALSE)</f>
        <v>Саратовская, Саратов</v>
      </c>
      <c r="G11" s="290"/>
      <c r="H11" s="280"/>
      <c r="I11" s="281"/>
      <c r="J11" s="311"/>
      <c r="K11" s="322">
        <v>6</v>
      </c>
      <c r="L11" s="326">
        <v>6</v>
      </c>
      <c r="M11" s="274" t="str">
        <f>VLOOKUP(L11,пр.взв.!B7:E70,2,FALSE)</f>
        <v>Чемерская Анна Владимировна</v>
      </c>
      <c r="N11" s="311" t="str">
        <f>VLOOKUP(L11,пр.взв.!B7:F110,3,FALSE)</f>
        <v>08.08.94 мс</v>
      </c>
      <c r="O11" s="311" t="str">
        <f>VLOOKUP(M11,пр.взв.!C7:G110,3,FALSE)</f>
        <v>СФО</v>
      </c>
      <c r="P11" s="262" t="str">
        <f>VLOOKUP(L11,пр.взв.!B11:G110,5,FALSE)</f>
        <v xml:space="preserve">Новосибирская Новосибирск  </v>
      </c>
      <c r="Q11" s="290"/>
      <c r="R11" s="280"/>
      <c r="S11" s="281"/>
      <c r="T11" s="311"/>
    </row>
    <row r="12" spans="1:20" ht="12.75" hidden="1" customHeight="1">
      <c r="A12" s="323"/>
      <c r="B12" s="319"/>
      <c r="C12" s="289"/>
      <c r="D12" s="265"/>
      <c r="E12" s="265"/>
      <c r="F12" s="265"/>
      <c r="G12" s="265"/>
      <c r="H12" s="265"/>
      <c r="I12" s="269"/>
      <c r="J12" s="181"/>
      <c r="K12" s="323"/>
      <c r="L12" s="319"/>
      <c r="M12" s="275"/>
      <c r="N12" s="265"/>
      <c r="O12" s="265"/>
      <c r="P12" s="265"/>
      <c r="Q12" s="265"/>
      <c r="R12" s="265"/>
      <c r="S12" s="269"/>
      <c r="T12" s="181"/>
    </row>
    <row r="13" spans="1:20" ht="12.75" hidden="1" customHeight="1">
      <c r="A13" s="323"/>
      <c r="B13" s="319">
        <v>13</v>
      </c>
      <c r="C13" s="258" t="str">
        <f>VLOOKUP(B13,пр.взв.!B7:E70,2,FALSE)</f>
        <v xml:space="preserve">Станкевич Виктория Владимировна </v>
      </c>
      <c r="D13" s="260" t="str">
        <f>VLOOKUP(B13,пр.взв.!B7:F112,3,FALSE)</f>
        <v>12.11.90 мс</v>
      </c>
      <c r="E13" s="260" t="str">
        <f>VLOOKUP(C13,пр.взв.!C7:G112,3,FALSE)</f>
        <v>МОС</v>
      </c>
      <c r="F13" s="260" t="str">
        <f>VLOOKUP(B13,пр.взв.!B13:G112,5,FALSE)</f>
        <v>Москва</v>
      </c>
      <c r="G13" s="263"/>
      <c r="H13" s="263"/>
      <c r="I13" s="192"/>
      <c r="J13" s="192"/>
      <c r="K13" s="323"/>
      <c r="L13" s="319">
        <v>14</v>
      </c>
      <c r="M13" s="276" t="str">
        <f>VLOOKUP(L13,пр.взв.!B7:E70,2,FALSE)</f>
        <v>Мохнаткина Марина Юрьевна</v>
      </c>
      <c r="N13" s="260" t="str">
        <f>VLOOKUP(L13,пр.взв.!B7:F112,3,FALSE)</f>
        <v>12.05.88 змс</v>
      </c>
      <c r="O13" s="260" t="str">
        <f>VLOOKUP(M13,пр.взв.!C7:G112,3,FALSE)</f>
        <v>ПФО</v>
      </c>
      <c r="P13" s="260" t="str">
        <f>VLOOKUP(L13,пр.взв.!B13:G112,5,FALSE)</f>
        <v>Пермский Пермь Д</v>
      </c>
      <c r="Q13" s="263"/>
      <c r="R13" s="263"/>
      <c r="S13" s="192"/>
      <c r="T13" s="192"/>
    </row>
    <row r="14" spans="1:20" ht="13.5" hidden="1" customHeight="1" thickBot="1">
      <c r="A14" s="324"/>
      <c r="B14" s="321"/>
      <c r="C14" s="259"/>
      <c r="D14" s="261"/>
      <c r="E14" s="261"/>
      <c r="F14" s="261"/>
      <c r="G14" s="264"/>
      <c r="H14" s="264"/>
      <c r="I14" s="278"/>
      <c r="J14" s="278"/>
      <c r="K14" s="324"/>
      <c r="L14" s="328"/>
      <c r="M14" s="277"/>
      <c r="N14" s="261"/>
      <c r="O14" s="261"/>
      <c r="P14" s="261"/>
      <c r="Q14" s="264"/>
      <c r="R14" s="264"/>
      <c r="S14" s="278"/>
      <c r="T14" s="278"/>
    </row>
    <row r="15" spans="1:20" ht="12.75" hidden="1" customHeight="1">
      <c r="A15" s="322">
        <v>3</v>
      </c>
      <c r="B15" s="327">
        <v>3</v>
      </c>
      <c r="C15" s="288" t="str">
        <f>VLOOKUP(B15,пр.взв.!B7:E70,2,FALSE)</f>
        <v>НАЗАРЕНКО Олеся Евгеньевна</v>
      </c>
      <c r="D15" s="262" t="str">
        <f>VLOOKUP(B15,пр.взв.!B7:F114,3,FALSE)</f>
        <v>21.03.76 мсмк</v>
      </c>
      <c r="E15" s="262" t="str">
        <f>VLOOKUP(C15,пр.взв.!C7:G114,3,FALSE)</f>
        <v>МОС</v>
      </c>
      <c r="F15" s="262" t="str">
        <f>VLOOKUP(B15,пр.взв.!B1:G114,5,FALSE)</f>
        <v xml:space="preserve">Москва С-70 Д </v>
      </c>
      <c r="G15" s="266"/>
      <c r="H15" s="267"/>
      <c r="I15" s="268"/>
      <c r="J15" s="193"/>
      <c r="K15" s="322">
        <v>7</v>
      </c>
      <c r="L15" s="327">
        <v>4</v>
      </c>
      <c r="M15" s="279" t="str">
        <f>VLOOKUP(L15,пр.взв.!B7:E70,2,FALSE)</f>
        <v>КРЮКОВА Ольга Владимировна</v>
      </c>
      <c r="N15" s="262" t="str">
        <f>VLOOKUP(L15,пр.взв.!B7:F114,3,FALSE)</f>
        <v>16.03.95 мс</v>
      </c>
      <c r="O15" s="262" t="str">
        <f>VLOOKUP(M15,пр.взв.!C7:G114,3,FALSE)</f>
        <v>ПФО</v>
      </c>
      <c r="P15" s="262" t="str">
        <f>VLOOKUP(L15,пр.взв.!B1:G114,5,FALSE)</f>
        <v xml:space="preserve">Самарская, Самара  </v>
      </c>
      <c r="Q15" s="266"/>
      <c r="R15" s="267"/>
      <c r="S15" s="268"/>
      <c r="T15" s="193"/>
    </row>
    <row r="16" spans="1:20" ht="12.75" hidden="1" customHeight="1">
      <c r="A16" s="323"/>
      <c r="B16" s="319"/>
      <c r="C16" s="289"/>
      <c r="D16" s="265"/>
      <c r="E16" s="265"/>
      <c r="F16" s="265"/>
      <c r="G16" s="265"/>
      <c r="H16" s="265"/>
      <c r="I16" s="269"/>
      <c r="J16" s="181"/>
      <c r="K16" s="323"/>
      <c r="L16" s="319"/>
      <c r="M16" s="275"/>
      <c r="N16" s="265"/>
      <c r="O16" s="265"/>
      <c r="P16" s="265"/>
      <c r="Q16" s="265"/>
      <c r="R16" s="265"/>
      <c r="S16" s="269"/>
      <c r="T16" s="181"/>
    </row>
    <row r="17" spans="1:20" ht="12.75" hidden="1" customHeight="1">
      <c r="A17" s="323"/>
      <c r="B17" s="319">
        <v>11</v>
      </c>
      <c r="C17" s="258" t="str">
        <f>VLOOKUP(B17,пр.взв.!B7:E70,2,FALSE)</f>
        <v>ГУРЦИЕВА Маргарита Касполатовна</v>
      </c>
      <c r="D17" s="260" t="str">
        <f>VLOOKUP(B17,пр.взв.!B7:F116,3,FALSE)</f>
        <v>15.04.88 мсмк</v>
      </c>
      <c r="E17" s="260" t="str">
        <f>VLOOKUP(C17,пр.взв.!C7:G116,3,FALSE)</f>
        <v>СКФО</v>
      </c>
      <c r="F17" s="260" t="str">
        <f>VLOOKUP(B17,пр.взв.!B17:G116,5,FALSE)</f>
        <v>РСО-Алания, Владикавказ Д</v>
      </c>
      <c r="G17" s="263"/>
      <c r="H17" s="263"/>
      <c r="I17" s="192"/>
      <c r="J17" s="192"/>
      <c r="K17" s="323"/>
      <c r="L17" s="319">
        <v>12</v>
      </c>
      <c r="M17" s="276" t="str">
        <f>VLOOKUP(L17,пр.взв.!B7:E70,2,FALSE)</f>
        <v xml:space="preserve"> Кабанова Екатерина Александровна</v>
      </c>
      <c r="N17" s="260" t="str">
        <f>VLOOKUP(L17,пр.взв.!B7:F116,3,FALSE)</f>
        <v xml:space="preserve"> 13.01.91 мс</v>
      </c>
      <c r="O17" s="260" t="str">
        <f>VLOOKUP(M17,пр.взв.!C7:G116,3,FALSE)</f>
        <v>МОС</v>
      </c>
      <c r="P17" s="260" t="str">
        <f>VLOOKUP(L17,пр.взв.!B17:G116,5,FALSE)</f>
        <v>Москва МКС</v>
      </c>
      <c r="Q17" s="263"/>
      <c r="R17" s="263"/>
      <c r="S17" s="192"/>
      <c r="T17" s="192"/>
    </row>
    <row r="18" spans="1:20" ht="13.5" hidden="1" customHeight="1" thickBot="1">
      <c r="A18" s="324"/>
      <c r="B18" s="321"/>
      <c r="C18" s="259"/>
      <c r="D18" s="261"/>
      <c r="E18" s="261"/>
      <c r="F18" s="261"/>
      <c r="G18" s="264"/>
      <c r="H18" s="264"/>
      <c r="I18" s="278"/>
      <c r="J18" s="278"/>
      <c r="K18" s="324"/>
      <c r="L18" s="321"/>
      <c r="M18" s="277"/>
      <c r="N18" s="261"/>
      <c r="O18" s="261"/>
      <c r="P18" s="261"/>
      <c r="Q18" s="264"/>
      <c r="R18" s="264"/>
      <c r="S18" s="278"/>
      <c r="T18" s="278"/>
    </row>
    <row r="19" spans="1:20" ht="12.75" hidden="1" customHeight="1">
      <c r="A19" s="322">
        <v>4</v>
      </c>
      <c r="B19" s="327">
        <v>7</v>
      </c>
      <c r="C19" s="317" t="str">
        <f>VLOOKUP(B19,пр.взв.!B7:E70,2,FALSE)</f>
        <v>Лугова Маргарита Витальевна</v>
      </c>
      <c r="D19" s="262" t="str">
        <f>VLOOKUP(B19,пр.взв.!B7:F118,3,FALSE)</f>
        <v>23.06.92 мс</v>
      </c>
      <c r="E19" s="262" t="str">
        <f>VLOOKUP(C19,пр.взв.!C7:G118,3,FALSE)</f>
        <v>СПБ</v>
      </c>
      <c r="F19" s="262" t="str">
        <f>VLOOKUP(B19,пр.взв.!B19:G118,5,FALSE)</f>
        <v xml:space="preserve">С.Петербург </v>
      </c>
      <c r="G19" s="265"/>
      <c r="H19" s="325"/>
      <c r="I19" s="269"/>
      <c r="J19" s="260"/>
      <c r="K19" s="322">
        <v>8</v>
      </c>
      <c r="L19" s="326">
        <v>8</v>
      </c>
      <c r="M19" s="274" t="str">
        <f>VLOOKUP(L19,пр.взв.!B7:E70,2,FALSE)</f>
        <v>Петренко Наталья Андреевна</v>
      </c>
      <c r="N19" s="262" t="str">
        <f>VLOOKUP(L19,пр.взв.!B7:F118,3,FALSE)</f>
        <v>22.02.91 мс</v>
      </c>
      <c r="O19" s="262" t="str">
        <f>VLOOKUP(M19,пр.взв.!C7:G118,3,FALSE)</f>
        <v>ЮФО</v>
      </c>
      <c r="P19" s="262" t="str">
        <f>VLOOKUP(L19,пр.взв.!B19:G118,5,FALSE)</f>
        <v xml:space="preserve">Краснодарский, Лабинск  </v>
      </c>
      <c r="Q19" s="265"/>
      <c r="R19" s="325"/>
      <c r="S19" s="269"/>
      <c r="T19" s="260"/>
    </row>
    <row r="20" spans="1:20" ht="12.75" hidden="1" customHeight="1">
      <c r="A20" s="323"/>
      <c r="B20" s="319"/>
      <c r="C20" s="289"/>
      <c r="D20" s="265"/>
      <c r="E20" s="265"/>
      <c r="F20" s="265"/>
      <c r="G20" s="265"/>
      <c r="H20" s="265"/>
      <c r="I20" s="269"/>
      <c r="J20" s="181"/>
      <c r="K20" s="323"/>
      <c r="L20" s="319"/>
      <c r="M20" s="275"/>
      <c r="N20" s="265"/>
      <c r="O20" s="265"/>
      <c r="P20" s="265"/>
      <c r="Q20" s="265"/>
      <c r="R20" s="265"/>
      <c r="S20" s="269"/>
      <c r="T20" s="181"/>
    </row>
    <row r="21" spans="1:20" ht="12.75" hidden="1" customHeight="1">
      <c r="A21" s="323"/>
      <c r="B21" s="319">
        <v>15</v>
      </c>
      <c r="C21" s="258" t="e">
        <f>VLOOKUP(B21,пр.взв.!B7:E70,2,FALSE)</f>
        <v>#N/A</v>
      </c>
      <c r="D21" s="260" t="e">
        <f>VLOOKUP(B21,пр.взв.!B7:F120,3,FALSE)</f>
        <v>#N/A</v>
      </c>
      <c r="E21" s="260" t="e">
        <f>VLOOKUP(C21,пр.взв.!C7:G120,3,FALSE)</f>
        <v>#N/A</v>
      </c>
      <c r="F21" s="262" t="e">
        <f>VLOOKUP(B21,пр.взв.!B21:G120,5,FALSE)</f>
        <v>#N/A</v>
      </c>
      <c r="G21" s="263"/>
      <c r="H21" s="263"/>
      <c r="I21" s="192"/>
      <c r="J21" s="192"/>
      <c r="K21" s="323"/>
      <c r="L21" s="319">
        <v>16</v>
      </c>
      <c r="M21" s="276" t="e">
        <f>VLOOKUP(L21,пр.взв.!B7:E70,2,FALSE)</f>
        <v>#N/A</v>
      </c>
      <c r="N21" s="260" t="e">
        <f>VLOOKUP(L21,пр.взв.!B7:F120,3,FALSE)</f>
        <v>#N/A</v>
      </c>
      <c r="O21" s="260" t="e">
        <f>VLOOKUP(M21,пр.взв.!C7:G120,3,FALSE)</f>
        <v>#N/A</v>
      </c>
      <c r="P21" s="262" t="e">
        <f>VLOOKUP(L21,пр.взв.!B21:G120,5,FALSE)</f>
        <v>#N/A</v>
      </c>
      <c r="Q21" s="263"/>
      <c r="R21" s="263"/>
      <c r="S21" s="192"/>
      <c r="T21" s="192"/>
    </row>
    <row r="22" spans="1:20" ht="12.75" hidden="1" customHeight="1" thickBot="1">
      <c r="A22" s="324"/>
      <c r="B22" s="321"/>
      <c r="C22" s="259"/>
      <c r="D22" s="261"/>
      <c r="E22" s="261"/>
      <c r="F22" s="261"/>
      <c r="G22" s="264"/>
      <c r="H22" s="264"/>
      <c r="I22" s="278"/>
      <c r="J22" s="278"/>
      <c r="K22" s="324"/>
      <c r="L22" s="321"/>
      <c r="M22" s="277"/>
      <c r="N22" s="261"/>
      <c r="O22" s="261"/>
      <c r="P22" s="261"/>
      <c r="Q22" s="264"/>
      <c r="R22" s="264"/>
      <c r="S22" s="278"/>
      <c r="T22" s="278"/>
    </row>
    <row r="24" spans="1:20" ht="16.5" hidden="1" thickBot="1">
      <c r="B24" s="75" t="s">
        <v>35</v>
      </c>
      <c r="C24" s="77" t="s">
        <v>41</v>
      </c>
      <c r="D24" s="76" t="s">
        <v>39</v>
      </c>
      <c r="E24" s="76"/>
      <c r="F24" s="77"/>
      <c r="G24" s="75" t="str">
        <f>B2</f>
        <v>в.к. 68  кг.</v>
      </c>
      <c r="H24" s="77"/>
      <c r="I24" s="77"/>
      <c r="J24" s="77"/>
      <c r="K24" s="77"/>
      <c r="L24" s="75" t="s">
        <v>1</v>
      </c>
      <c r="M24" s="77" t="s">
        <v>41</v>
      </c>
      <c r="N24" s="76" t="s">
        <v>39</v>
      </c>
      <c r="O24" s="76"/>
      <c r="P24" s="77"/>
      <c r="Q24" s="75" t="str">
        <f>L2</f>
        <v>в.к. 68  кг.</v>
      </c>
      <c r="R24" s="77"/>
      <c r="S24" s="77"/>
      <c r="T24" s="77"/>
    </row>
    <row r="25" spans="1:20" ht="12.75" hidden="1" customHeight="1">
      <c r="A25" s="300" t="s">
        <v>42</v>
      </c>
      <c r="B25" s="291" t="s">
        <v>4</v>
      </c>
      <c r="C25" s="293" t="s">
        <v>5</v>
      </c>
      <c r="D25" s="282" t="s">
        <v>13</v>
      </c>
      <c r="E25" s="306" t="s">
        <v>14</v>
      </c>
      <c r="F25" s="307"/>
      <c r="G25" s="293" t="s">
        <v>15</v>
      </c>
      <c r="H25" s="296" t="s">
        <v>43</v>
      </c>
      <c r="I25" s="298" t="s">
        <v>16</v>
      </c>
      <c r="J25" s="285" t="s">
        <v>17</v>
      </c>
      <c r="K25" s="300" t="s">
        <v>42</v>
      </c>
      <c r="L25" s="291" t="s">
        <v>4</v>
      </c>
      <c r="M25" s="293" t="s">
        <v>5</v>
      </c>
      <c r="N25" s="282" t="s">
        <v>13</v>
      </c>
      <c r="O25" s="302" t="s">
        <v>14</v>
      </c>
      <c r="P25" s="303"/>
      <c r="Q25" s="293" t="s">
        <v>15</v>
      </c>
      <c r="R25" s="296" t="s">
        <v>43</v>
      </c>
      <c r="S25" s="298" t="s">
        <v>16</v>
      </c>
      <c r="T25" s="285" t="s">
        <v>17</v>
      </c>
    </row>
    <row r="26" spans="1:20" ht="13.5" hidden="1" customHeight="1" thickBot="1">
      <c r="A26" s="301"/>
      <c r="B26" s="292" t="s">
        <v>36</v>
      </c>
      <c r="C26" s="294"/>
      <c r="D26" s="295"/>
      <c r="E26" s="308"/>
      <c r="F26" s="309"/>
      <c r="G26" s="294"/>
      <c r="H26" s="297"/>
      <c r="I26" s="299"/>
      <c r="J26" s="286" t="s">
        <v>37</v>
      </c>
      <c r="K26" s="301"/>
      <c r="L26" s="292" t="s">
        <v>36</v>
      </c>
      <c r="M26" s="294"/>
      <c r="N26" s="295"/>
      <c r="O26" s="304"/>
      <c r="P26" s="305"/>
      <c r="Q26" s="294"/>
      <c r="R26" s="297"/>
      <c r="S26" s="299"/>
      <c r="T26" s="286" t="s">
        <v>37</v>
      </c>
    </row>
    <row r="27" spans="1:20" hidden="1">
      <c r="A27" s="322">
        <v>1</v>
      </c>
      <c r="B27" s="318">
        <f>пр.хода!E8</f>
        <v>9</v>
      </c>
      <c r="C27" s="288" t="str">
        <f>VLOOKUP(B27,пр.взв.!B1:E82,2,FALSE)</f>
        <v>Осинцева Илона Сергеевна</v>
      </c>
      <c r="D27" s="262" t="str">
        <f>VLOOKUP(B27,пр.взв.!B1:F126,3,FALSE)</f>
        <v>12.03.95 мс</v>
      </c>
      <c r="E27" s="262" t="str">
        <f>VLOOKUP(C27,пр.взв.!C1:G126,3,FALSE)</f>
        <v>УФО</v>
      </c>
      <c r="F27" s="262" t="str">
        <f>VLOOKUP(B27,пр.взв.!B1:G126,5,FALSE)</f>
        <v>Курганская, Шадринск</v>
      </c>
      <c r="G27" s="290"/>
      <c r="H27" s="280"/>
      <c r="I27" s="281"/>
      <c r="J27" s="282"/>
      <c r="K27" s="283">
        <v>3</v>
      </c>
      <c r="L27" s="318">
        <f>пр.хода!Q8</f>
        <v>10</v>
      </c>
      <c r="M27" s="279" t="str">
        <f>VLOOKUP(L27,пр.взв.!B1:E82,2,FALSE)</f>
        <v>Вереденко Дарья Андреевна</v>
      </c>
      <c r="N27" s="262" t="str">
        <f>VLOOKUP(L27,пр.взв.!B1:F126,3,FALSE)</f>
        <v>12.06.95 мс</v>
      </c>
      <c r="O27" s="262" t="str">
        <f>VLOOKUP(M27,пр.взв.!C1:G126,3,FALSE)</f>
        <v>ДФО</v>
      </c>
      <c r="P27" s="262" t="str">
        <f>VLOOKUP(L27,пр.взв.!B1:G126,5,FALSE)</f>
        <v>Приморский</v>
      </c>
      <c r="Q27" s="290"/>
      <c r="R27" s="280"/>
      <c r="S27" s="281"/>
      <c r="T27" s="282"/>
    </row>
    <row r="28" spans="1:20" hidden="1">
      <c r="A28" s="323"/>
      <c r="B28" s="319"/>
      <c r="C28" s="289"/>
      <c r="D28" s="265"/>
      <c r="E28" s="265"/>
      <c r="F28" s="265"/>
      <c r="G28" s="265"/>
      <c r="H28" s="265"/>
      <c r="I28" s="269"/>
      <c r="J28" s="181"/>
      <c r="K28" s="270"/>
      <c r="L28" s="319"/>
      <c r="M28" s="275"/>
      <c r="N28" s="265"/>
      <c r="O28" s="265"/>
      <c r="P28" s="265"/>
      <c r="Q28" s="265"/>
      <c r="R28" s="265"/>
      <c r="S28" s="269"/>
      <c r="T28" s="181"/>
    </row>
    <row r="29" spans="1:20" hidden="1">
      <c r="A29" s="323"/>
      <c r="B29" s="320">
        <f>пр.хода!E12</f>
        <v>13</v>
      </c>
      <c r="C29" s="258" t="str">
        <f>VLOOKUP(B29,пр.взв.!B1:E82,2,FALSE)</f>
        <v xml:space="preserve">Станкевич Виктория Владимировна </v>
      </c>
      <c r="D29" s="260" t="str">
        <f>VLOOKUP(B29,пр.взв.!B1:F128,3,FALSE)</f>
        <v>12.11.90 мс</v>
      </c>
      <c r="E29" s="260" t="str">
        <f>VLOOKUP(C29,пр.взв.!C1:G128,3,FALSE)</f>
        <v>МОС</v>
      </c>
      <c r="F29" s="260" t="str">
        <f>VLOOKUP(B29,пр.взв.!B3:G128,5,FALSE)</f>
        <v>Москва</v>
      </c>
      <c r="G29" s="263"/>
      <c r="H29" s="263"/>
      <c r="I29" s="192"/>
      <c r="J29" s="192"/>
      <c r="K29" s="270"/>
      <c r="L29" s="320">
        <f>пр.хода!Q12</f>
        <v>14</v>
      </c>
      <c r="M29" s="276" t="str">
        <f>VLOOKUP(L29,пр.взв.!B1:E82,2,FALSE)</f>
        <v>Мохнаткина Марина Юрьевна</v>
      </c>
      <c r="N29" s="260" t="str">
        <f>VLOOKUP(L29,пр.взв.!B1:F128,3,FALSE)</f>
        <v>12.05.88 змс</v>
      </c>
      <c r="O29" s="260" t="str">
        <f>VLOOKUP(M29,пр.взв.!C1:G128,3,FALSE)</f>
        <v>ПФО</v>
      </c>
      <c r="P29" s="260" t="str">
        <f>VLOOKUP(L29,пр.взв.!B3:G128,5,FALSE)</f>
        <v>Пермский Пермь Д</v>
      </c>
      <c r="Q29" s="263"/>
      <c r="R29" s="263"/>
      <c r="S29" s="192"/>
      <c r="T29" s="192"/>
    </row>
    <row r="30" spans="1:20" ht="13.5" hidden="1" thickBot="1">
      <c r="A30" s="324"/>
      <c r="B30" s="321"/>
      <c r="C30" s="259"/>
      <c r="D30" s="261"/>
      <c r="E30" s="261"/>
      <c r="F30" s="261"/>
      <c r="G30" s="264"/>
      <c r="H30" s="264"/>
      <c r="I30" s="278"/>
      <c r="J30" s="278"/>
      <c r="K30" s="271"/>
      <c r="L30" s="321"/>
      <c r="M30" s="277"/>
      <c r="N30" s="261"/>
      <c r="O30" s="261"/>
      <c r="P30" s="261"/>
      <c r="Q30" s="264"/>
      <c r="R30" s="264"/>
      <c r="S30" s="278"/>
      <c r="T30" s="278"/>
    </row>
    <row r="31" spans="1:20" hidden="1">
      <c r="A31" s="322">
        <v>2</v>
      </c>
      <c r="B31" s="318">
        <f>пр.хода!E16</f>
        <v>11</v>
      </c>
      <c r="C31" s="317" t="str">
        <f>VLOOKUP(B31,пр.взв.!B1:E82,2,FALSE)</f>
        <v>ГУРЦИЕВА Маргарита Касполатовна</v>
      </c>
      <c r="D31" s="262" t="str">
        <f>VLOOKUP(B31,пр.взв.!B1:F130,3,FALSE)</f>
        <v>15.04.88 мсмк</v>
      </c>
      <c r="E31" s="262" t="str">
        <f>VLOOKUP(C31,пр.взв.!C1:G130,3,FALSE)</f>
        <v>СКФО</v>
      </c>
      <c r="F31" s="262" t="str">
        <f>VLOOKUP(B31,пр.взв.!B5:G130,5,FALSE)</f>
        <v>РСО-Алания, Владикавказ Д</v>
      </c>
      <c r="G31" s="290"/>
      <c r="H31" s="280"/>
      <c r="I31" s="281"/>
      <c r="J31" s="311"/>
      <c r="K31" s="283">
        <v>4</v>
      </c>
      <c r="L31" s="318">
        <f>пр.хода!Q16</f>
        <v>4</v>
      </c>
      <c r="M31" s="274" t="str">
        <f>VLOOKUP(L31,пр.взв.!B1:E82,2,FALSE)</f>
        <v>КРЮКОВА Ольга Владимировна</v>
      </c>
      <c r="N31" s="262" t="str">
        <f>VLOOKUP(L31,пр.взв.!B1:F130,3,FALSE)</f>
        <v>16.03.95 мс</v>
      </c>
      <c r="O31" s="262" t="str">
        <f>VLOOKUP(M31,пр.взв.!C1:G130,3,FALSE)</f>
        <v>ПФО</v>
      </c>
      <c r="P31" s="262" t="str">
        <f>VLOOKUP(L31,пр.взв.!B5:G130,5,FALSE)</f>
        <v xml:space="preserve">Самарская, Самара  </v>
      </c>
      <c r="Q31" s="290"/>
      <c r="R31" s="280"/>
      <c r="S31" s="281"/>
      <c r="T31" s="311"/>
    </row>
    <row r="32" spans="1:20" hidden="1">
      <c r="A32" s="323"/>
      <c r="B32" s="319"/>
      <c r="C32" s="289"/>
      <c r="D32" s="265"/>
      <c r="E32" s="265"/>
      <c r="F32" s="265"/>
      <c r="G32" s="265"/>
      <c r="H32" s="265"/>
      <c r="I32" s="269"/>
      <c r="J32" s="181"/>
      <c r="K32" s="270"/>
      <c r="L32" s="319"/>
      <c r="M32" s="275"/>
      <c r="N32" s="265"/>
      <c r="O32" s="265"/>
      <c r="P32" s="265"/>
      <c r="Q32" s="265"/>
      <c r="R32" s="265"/>
      <c r="S32" s="269"/>
      <c r="T32" s="181"/>
    </row>
    <row r="33" spans="1:20" hidden="1">
      <c r="A33" s="323"/>
      <c r="B33" s="320">
        <f>пр.хода!E20</f>
        <v>7</v>
      </c>
      <c r="C33" s="258" t="str">
        <f>VLOOKUP(B33,пр.взв.!B1:E82,2,FALSE)</f>
        <v>Лугова Маргарита Витальевна</v>
      </c>
      <c r="D33" s="260" t="str">
        <f>VLOOKUP(B33,пр.взв.!B1:F132,3,FALSE)</f>
        <v>23.06.92 мс</v>
      </c>
      <c r="E33" s="260" t="str">
        <f>VLOOKUP(C33,пр.взв.!C1:G132,3,FALSE)</f>
        <v>СПБ</v>
      </c>
      <c r="F33" s="262" t="str">
        <f>VLOOKUP(B33,пр.взв.!B7:G132,5,FALSE)</f>
        <v xml:space="preserve">С.Петербург </v>
      </c>
      <c r="G33" s="263"/>
      <c r="H33" s="263"/>
      <c r="I33" s="192"/>
      <c r="J33" s="192"/>
      <c r="K33" s="270"/>
      <c r="L33" s="320">
        <f>пр.хода!Q20</f>
        <v>8</v>
      </c>
      <c r="M33" s="276" t="str">
        <f>VLOOKUP(L33,пр.взв.!B1:E82,2,FALSE)</f>
        <v>Петренко Наталья Андреевна</v>
      </c>
      <c r="N33" s="260" t="str">
        <f>VLOOKUP(L33,пр.взв.!B1:F132,3,FALSE)</f>
        <v>22.02.91 мс</v>
      </c>
      <c r="O33" s="260" t="str">
        <f>VLOOKUP(M33,пр.взв.!C1:G132,3,FALSE)</f>
        <v>ЮФО</v>
      </c>
      <c r="P33" s="262" t="str">
        <f>VLOOKUP(L33,пр.взв.!B7:G132,5,FALSE)</f>
        <v xml:space="preserve">Краснодарский, Лабинск  </v>
      </c>
      <c r="Q33" s="263"/>
      <c r="R33" s="263"/>
      <c r="S33" s="192"/>
      <c r="T33" s="192"/>
    </row>
    <row r="34" spans="1:20" ht="13.5" hidden="1" thickBot="1">
      <c r="A34" s="324"/>
      <c r="B34" s="321"/>
      <c r="C34" s="259"/>
      <c r="D34" s="261"/>
      <c r="E34" s="261"/>
      <c r="F34" s="261"/>
      <c r="G34" s="264"/>
      <c r="H34" s="264"/>
      <c r="I34" s="278"/>
      <c r="J34" s="278"/>
      <c r="K34" s="271"/>
      <c r="L34" s="321"/>
      <c r="M34" s="277"/>
      <c r="N34" s="261"/>
      <c r="O34" s="261"/>
      <c r="P34" s="261"/>
      <c r="Q34" s="264"/>
      <c r="R34" s="264"/>
      <c r="S34" s="278"/>
      <c r="T34" s="278"/>
    </row>
    <row r="36" spans="1:20" ht="16.5" thickBot="1">
      <c r="B36" s="75" t="s">
        <v>35</v>
      </c>
      <c r="C36" s="88" t="s">
        <v>44</v>
      </c>
      <c r="D36" s="79"/>
      <c r="E36" s="79"/>
      <c r="F36" s="79"/>
      <c r="G36" s="82" t="str">
        <f>пр.взв.!D4</f>
        <v>в.к. 68  кг.</v>
      </c>
      <c r="H36" s="79"/>
      <c r="I36" s="79"/>
      <c r="J36" s="79"/>
      <c r="K36" s="78"/>
      <c r="L36" s="75" t="s">
        <v>1</v>
      </c>
      <c r="M36" s="88" t="s">
        <v>44</v>
      </c>
      <c r="N36" s="79"/>
      <c r="O36" s="79"/>
      <c r="P36" s="79"/>
      <c r="Q36" s="75" t="str">
        <f>пр.взв.!D4</f>
        <v>в.к. 68  кг.</v>
      </c>
      <c r="R36" s="79"/>
      <c r="S36" s="79"/>
      <c r="T36" s="79"/>
    </row>
    <row r="37" spans="1:20" ht="12.75" customHeight="1">
      <c r="A37" s="300" t="s">
        <v>42</v>
      </c>
      <c r="B37" s="291" t="s">
        <v>4</v>
      </c>
      <c r="C37" s="293" t="s">
        <v>5</v>
      </c>
      <c r="D37" s="282" t="s">
        <v>13</v>
      </c>
      <c r="E37" s="306" t="s">
        <v>14</v>
      </c>
      <c r="F37" s="307"/>
      <c r="G37" s="293" t="s">
        <v>15</v>
      </c>
      <c r="H37" s="296" t="s">
        <v>43</v>
      </c>
      <c r="I37" s="298" t="s">
        <v>16</v>
      </c>
      <c r="J37" s="285" t="s">
        <v>17</v>
      </c>
      <c r="K37" s="300" t="s">
        <v>42</v>
      </c>
      <c r="L37" s="291" t="s">
        <v>4</v>
      </c>
      <c r="M37" s="293" t="s">
        <v>5</v>
      </c>
      <c r="N37" s="282" t="s">
        <v>13</v>
      </c>
      <c r="O37" s="302" t="s">
        <v>14</v>
      </c>
      <c r="P37" s="303"/>
      <c r="Q37" s="293" t="s">
        <v>15</v>
      </c>
      <c r="R37" s="296" t="s">
        <v>43</v>
      </c>
      <c r="S37" s="298" t="s">
        <v>16</v>
      </c>
      <c r="T37" s="285" t="s">
        <v>17</v>
      </c>
    </row>
    <row r="38" spans="1:20" ht="13.5" customHeight="1" thickBot="1">
      <c r="A38" s="301"/>
      <c r="B38" s="292" t="s">
        <v>36</v>
      </c>
      <c r="C38" s="294"/>
      <c r="D38" s="295"/>
      <c r="E38" s="308"/>
      <c r="F38" s="309"/>
      <c r="G38" s="294"/>
      <c r="H38" s="297"/>
      <c r="I38" s="299"/>
      <c r="J38" s="286" t="s">
        <v>37</v>
      </c>
      <c r="K38" s="301"/>
      <c r="L38" s="292" t="s">
        <v>36</v>
      </c>
      <c r="M38" s="294"/>
      <c r="N38" s="295"/>
      <c r="O38" s="304"/>
      <c r="P38" s="305"/>
      <c r="Q38" s="294"/>
      <c r="R38" s="297"/>
      <c r="S38" s="299"/>
      <c r="T38" s="286" t="s">
        <v>37</v>
      </c>
    </row>
    <row r="39" spans="1:20">
      <c r="A39" s="312">
        <v>1</v>
      </c>
      <c r="B39" s="315">
        <f>пр.хода!G10</f>
        <v>13</v>
      </c>
      <c r="C39" s="317" t="str">
        <f>VLOOKUP(B39,пр.взв.!B2:E90,2,FALSE)</f>
        <v xml:space="preserve">Станкевич Виктория Владимировна </v>
      </c>
      <c r="D39" s="311" t="str">
        <f>VLOOKUP(B39,пр.взв.!B2:F138,3,FALSE)</f>
        <v>12.11.90 мс</v>
      </c>
      <c r="E39" s="311" t="str">
        <f>VLOOKUP(C39,пр.взв.!C2:G138,3,FALSE)</f>
        <v>МОС</v>
      </c>
      <c r="F39" s="311" t="str">
        <f>VLOOKUP(B39,пр.взв.!B2:G138,5,FALSE)</f>
        <v>Москва</v>
      </c>
      <c r="G39" s="290"/>
      <c r="H39" s="280"/>
      <c r="I39" s="281"/>
      <c r="J39" s="282"/>
      <c r="K39" s="312">
        <v>2</v>
      </c>
      <c r="L39" s="315">
        <f>пр.хода!O10</f>
        <v>14</v>
      </c>
      <c r="M39" s="274" t="str">
        <f>VLOOKUP(L39,пр.взв.!B2:E90,2,FALSE)</f>
        <v>Мохнаткина Марина Юрьевна</v>
      </c>
      <c r="N39" s="311" t="str">
        <f>VLOOKUP(L39,пр.взв.!B2:F138,3,FALSE)</f>
        <v>12.05.88 змс</v>
      </c>
      <c r="O39" s="311" t="str">
        <f>VLOOKUP(M39,пр.взв.!C2:G138,3,FALSE)</f>
        <v>ПФО</v>
      </c>
      <c r="P39" s="311" t="str">
        <f>VLOOKUP(L39,пр.взв.!B2:G138,5,FALSE)</f>
        <v>Пермский Пермь Д</v>
      </c>
      <c r="Q39" s="290"/>
      <c r="R39" s="280"/>
      <c r="S39" s="281"/>
      <c r="T39" s="282"/>
    </row>
    <row r="40" spans="1:20">
      <c r="A40" s="313"/>
      <c r="B40" s="273"/>
      <c r="C40" s="289"/>
      <c r="D40" s="265"/>
      <c r="E40" s="265"/>
      <c r="F40" s="265"/>
      <c r="G40" s="265"/>
      <c r="H40" s="265"/>
      <c r="I40" s="269"/>
      <c r="J40" s="181"/>
      <c r="K40" s="313"/>
      <c r="L40" s="273"/>
      <c r="M40" s="275"/>
      <c r="N40" s="265"/>
      <c r="O40" s="265"/>
      <c r="P40" s="265"/>
      <c r="Q40" s="265"/>
      <c r="R40" s="265"/>
      <c r="S40" s="269"/>
      <c r="T40" s="181"/>
    </row>
    <row r="41" spans="1:20">
      <c r="A41" s="313"/>
      <c r="B41" s="316">
        <f>пр.хода!G18</f>
        <v>11</v>
      </c>
      <c r="C41" s="258" t="str">
        <f>VLOOKUP(B41,пр.взв.!B2:E90,2,FALSE)</f>
        <v>ГУРЦИЕВА Маргарита Касполатовна</v>
      </c>
      <c r="D41" s="260" t="str">
        <f>VLOOKUP(B41,пр.взв.!B2:F140,3,FALSE)</f>
        <v>15.04.88 мсмк</v>
      </c>
      <c r="E41" s="260" t="str">
        <f>VLOOKUP(C41,пр.взв.!C2:G140,3,FALSE)</f>
        <v>СКФО</v>
      </c>
      <c r="F41" s="260" t="str">
        <f>VLOOKUP(B41,пр.взв.!B2:G140,5,FALSE)</f>
        <v>РСО-Алания, Владикавказ Д</v>
      </c>
      <c r="G41" s="263"/>
      <c r="H41" s="263"/>
      <c r="I41" s="192"/>
      <c r="J41" s="192"/>
      <c r="K41" s="313"/>
      <c r="L41" s="316">
        <f>пр.хода!O18</f>
        <v>4</v>
      </c>
      <c r="M41" s="276" t="str">
        <f>VLOOKUP(L41,пр.взв.!B2:E90,2,FALSE)</f>
        <v>КРЮКОВА Ольга Владимировна</v>
      </c>
      <c r="N41" s="260" t="str">
        <f>VLOOKUP(L41,пр.взв.!B2:F140,3,FALSE)</f>
        <v>16.03.95 мс</v>
      </c>
      <c r="O41" s="260" t="str">
        <f>VLOOKUP(M41,пр.взв.!C2:G140,3,FALSE)</f>
        <v>ПФО</v>
      </c>
      <c r="P41" s="260" t="str">
        <f>VLOOKUP(L41,пр.взв.!B2:G140,5,FALSE)</f>
        <v xml:space="preserve">Самарская, Самара  </v>
      </c>
      <c r="Q41" s="263"/>
      <c r="R41" s="263"/>
      <c r="S41" s="192"/>
      <c r="T41" s="192"/>
    </row>
    <row r="42" spans="1:20" ht="13.5" thickBot="1">
      <c r="A42" s="314"/>
      <c r="B42" s="257"/>
      <c r="C42" s="259"/>
      <c r="D42" s="261"/>
      <c r="E42" s="261"/>
      <c r="F42" s="261"/>
      <c r="G42" s="264"/>
      <c r="H42" s="264"/>
      <c r="I42" s="278"/>
      <c r="J42" s="278"/>
      <c r="K42" s="314"/>
      <c r="L42" s="257"/>
      <c r="M42" s="277"/>
      <c r="N42" s="261"/>
      <c r="O42" s="261"/>
      <c r="P42" s="261"/>
      <c r="Q42" s="264"/>
      <c r="R42" s="264"/>
      <c r="S42" s="278"/>
      <c r="T42" s="278"/>
    </row>
    <row r="44" spans="1:20" ht="15">
      <c r="A44" s="310" t="s">
        <v>45</v>
      </c>
      <c r="B44" s="310"/>
      <c r="C44" s="310"/>
      <c r="D44" s="310"/>
      <c r="E44" s="310"/>
      <c r="F44" s="310"/>
      <c r="G44" s="310"/>
      <c r="H44" s="310"/>
      <c r="I44" s="310"/>
      <c r="J44" s="310"/>
      <c r="K44" s="310" t="s">
        <v>46</v>
      </c>
      <c r="L44" s="310"/>
      <c r="M44" s="310"/>
      <c r="N44" s="310"/>
      <c r="O44" s="310"/>
      <c r="P44" s="310"/>
      <c r="Q44" s="310"/>
      <c r="R44" s="310"/>
      <c r="S44" s="310"/>
      <c r="T44" s="310"/>
    </row>
    <row r="45" spans="1:20" ht="15.75">
      <c r="B45" s="75" t="s">
        <v>35</v>
      </c>
      <c r="C45" s="80"/>
      <c r="D45" s="80"/>
      <c r="E45" s="80"/>
      <c r="F45" s="80"/>
      <c r="G45" s="83" t="str">
        <f>G36</f>
        <v>в.к. 68  кг.</v>
      </c>
      <c r="H45" s="80"/>
      <c r="I45" s="80"/>
      <c r="J45" s="80"/>
      <c r="K45" s="60"/>
      <c r="L45" s="81" t="s">
        <v>1</v>
      </c>
      <c r="M45" s="80"/>
      <c r="N45" s="80"/>
      <c r="O45" s="80"/>
      <c r="P45" s="80"/>
      <c r="Q45" s="83" t="str">
        <f>Q36</f>
        <v>в.к. 68  кг.</v>
      </c>
      <c r="R45" s="78"/>
      <c r="S45" s="78"/>
      <c r="T45" s="78"/>
    </row>
    <row r="46" spans="1:20" ht="12.75" hidden="1" customHeight="1">
      <c r="A46" s="300" t="s">
        <v>42</v>
      </c>
      <c r="B46" s="291" t="s">
        <v>4</v>
      </c>
      <c r="C46" s="293" t="s">
        <v>5</v>
      </c>
      <c r="D46" s="282" t="s">
        <v>13</v>
      </c>
      <c r="E46" s="306" t="s">
        <v>14</v>
      </c>
      <c r="F46" s="307"/>
      <c r="G46" s="293" t="s">
        <v>15</v>
      </c>
      <c r="H46" s="296" t="s">
        <v>43</v>
      </c>
      <c r="I46" s="298" t="s">
        <v>16</v>
      </c>
      <c r="J46" s="285" t="s">
        <v>17</v>
      </c>
      <c r="K46" s="300" t="s">
        <v>42</v>
      </c>
      <c r="L46" s="291" t="s">
        <v>4</v>
      </c>
      <c r="M46" s="293" t="s">
        <v>5</v>
      </c>
      <c r="N46" s="282" t="s">
        <v>13</v>
      </c>
      <c r="O46" s="302" t="s">
        <v>14</v>
      </c>
      <c r="P46" s="303"/>
      <c r="Q46" s="293" t="s">
        <v>15</v>
      </c>
      <c r="R46" s="296" t="s">
        <v>43</v>
      </c>
      <c r="S46" s="298" t="s">
        <v>16</v>
      </c>
      <c r="T46" s="285" t="s">
        <v>17</v>
      </c>
    </row>
    <row r="47" spans="1:20" ht="13.5" hidden="1" customHeight="1" thickBot="1">
      <c r="A47" s="301"/>
      <c r="B47" s="292" t="s">
        <v>36</v>
      </c>
      <c r="C47" s="294"/>
      <c r="D47" s="295"/>
      <c r="E47" s="308"/>
      <c r="F47" s="309"/>
      <c r="G47" s="294"/>
      <c r="H47" s="297"/>
      <c r="I47" s="299"/>
      <c r="J47" s="286" t="s">
        <v>37</v>
      </c>
      <c r="K47" s="301"/>
      <c r="L47" s="292" t="s">
        <v>36</v>
      </c>
      <c r="M47" s="294"/>
      <c r="N47" s="295"/>
      <c r="O47" s="304"/>
      <c r="P47" s="305"/>
      <c r="Q47" s="294"/>
      <c r="R47" s="297"/>
      <c r="S47" s="299"/>
      <c r="T47" s="286" t="s">
        <v>37</v>
      </c>
    </row>
    <row r="48" spans="1:20" hidden="1">
      <c r="A48" s="283">
        <v>1</v>
      </c>
      <c r="B48" s="272">
        <f>пр.хода!A25</f>
        <v>5</v>
      </c>
      <c r="C48" s="288" t="str">
        <f>VLOOKUP(B48,пр.взв.!B4:E103,2,FALSE)</f>
        <v>Власова Александра Игоревна</v>
      </c>
      <c r="D48" s="262" t="str">
        <f>VLOOKUP(B48,пр.взв.!B4:F147,3,FALSE)</f>
        <v>15.05.96 кмс</v>
      </c>
      <c r="E48" s="262" t="str">
        <f>VLOOKUP(C48,пр.взв.!C4:G147,3,FALSE)</f>
        <v>ПФО</v>
      </c>
      <c r="F48" s="262" t="str">
        <f>VLOOKUP(B48,пр.взв.!B4:G147,5,FALSE)</f>
        <v>Саратовская, Саратов</v>
      </c>
      <c r="G48" s="290"/>
      <c r="H48" s="280"/>
      <c r="I48" s="281"/>
      <c r="J48" s="282"/>
      <c r="K48" s="283">
        <v>3</v>
      </c>
      <c r="L48" s="284">
        <f>пр.хода!I25</f>
        <v>6</v>
      </c>
      <c r="M48" s="279" t="str">
        <f>VLOOKUP(L48,пр.взв.!B4:E103,2,FALSE)</f>
        <v>Чемерская Анна Владимировна</v>
      </c>
      <c r="N48" s="262" t="str">
        <f>VLOOKUP(L48,пр.взв.!B4:F147,3,FALSE)</f>
        <v>08.08.94 мс</v>
      </c>
      <c r="O48" s="262" t="str">
        <f>VLOOKUP(M48,пр.взв.!C4:G147,3,FALSE)</f>
        <v>СФО</v>
      </c>
      <c r="P48" s="262" t="str">
        <f>VLOOKUP(L48,пр.взв.!B4:G147,5,FALSE)</f>
        <v xml:space="preserve">Новосибирская Новосибирск  </v>
      </c>
      <c r="Q48" s="266"/>
      <c r="R48" s="267"/>
      <c r="S48" s="268"/>
      <c r="T48" s="193"/>
    </row>
    <row r="49" spans="1:20" hidden="1">
      <c r="A49" s="270"/>
      <c r="B49" s="273"/>
      <c r="C49" s="289"/>
      <c r="D49" s="265"/>
      <c r="E49" s="265"/>
      <c r="F49" s="265"/>
      <c r="G49" s="265"/>
      <c r="H49" s="265"/>
      <c r="I49" s="269"/>
      <c r="J49" s="181"/>
      <c r="K49" s="270"/>
      <c r="L49" s="273"/>
      <c r="M49" s="275"/>
      <c r="N49" s="265"/>
      <c r="O49" s="265"/>
      <c r="P49" s="265"/>
      <c r="Q49" s="265"/>
      <c r="R49" s="265"/>
      <c r="S49" s="269"/>
      <c r="T49" s="181"/>
    </row>
    <row r="50" spans="1:20" hidden="1">
      <c r="A50" s="270"/>
      <c r="B50" s="256">
        <f>пр.хода!A27</f>
        <v>9</v>
      </c>
      <c r="C50" s="258" t="str">
        <f>VLOOKUP(B50,пр.взв.!B4:E103,2,FALSE)</f>
        <v>Осинцева Илона Сергеевна</v>
      </c>
      <c r="D50" s="260" t="str">
        <f>VLOOKUP(B50,пр.взв.!B4:F149,3,FALSE)</f>
        <v>12.03.95 мс</v>
      </c>
      <c r="E50" s="260" t="str">
        <f>VLOOKUP(C50,пр.взв.!C4:G149,3,FALSE)</f>
        <v>УФО</v>
      </c>
      <c r="F50" s="260" t="str">
        <f>VLOOKUP(B50,пр.взв.!B6:G149,5,FALSE)</f>
        <v>Курганская, Шадринск</v>
      </c>
      <c r="G50" s="263"/>
      <c r="H50" s="263"/>
      <c r="I50" s="192"/>
      <c r="J50" s="192"/>
      <c r="K50" s="270"/>
      <c r="L50" s="256">
        <f>пр.хода!I27</f>
        <v>10</v>
      </c>
      <c r="M50" s="276" t="str">
        <f>VLOOKUP(L50,пр.взв.!B4:E103,2,FALSE)</f>
        <v>Вереденко Дарья Андреевна</v>
      </c>
      <c r="N50" s="260" t="str">
        <f>VLOOKUP(L50,пр.взв.!B4:F149,3,FALSE)</f>
        <v>12.06.95 мс</v>
      </c>
      <c r="O50" s="260" t="str">
        <f>VLOOKUP(M50,пр.взв.!C4:G149,3,FALSE)</f>
        <v>ДФО</v>
      </c>
      <c r="P50" s="260" t="str">
        <f>VLOOKUP(L50,пр.взв.!B6:G149,5,FALSE)</f>
        <v>Приморский</v>
      </c>
      <c r="Q50" s="263"/>
      <c r="R50" s="263"/>
      <c r="S50" s="192"/>
      <c r="T50" s="192"/>
    </row>
    <row r="51" spans="1:20" ht="13.5" hidden="1" thickBot="1">
      <c r="A51" s="287"/>
      <c r="B51" s="257"/>
      <c r="C51" s="259"/>
      <c r="D51" s="261"/>
      <c r="E51" s="261"/>
      <c r="F51" s="261"/>
      <c r="G51" s="264"/>
      <c r="H51" s="264"/>
      <c r="I51" s="278"/>
      <c r="J51" s="278"/>
      <c r="K51" s="271"/>
      <c r="L51" s="257"/>
      <c r="M51" s="277"/>
      <c r="N51" s="261"/>
      <c r="O51" s="261"/>
      <c r="P51" s="261"/>
      <c r="Q51" s="264"/>
      <c r="R51" s="264"/>
      <c r="S51" s="278"/>
      <c r="T51" s="278"/>
    </row>
    <row r="52" spans="1:20" hidden="1">
      <c r="A52" s="283">
        <v>2</v>
      </c>
      <c r="B52" s="272">
        <f>пр.хода!A31</f>
        <v>3</v>
      </c>
      <c r="C52" s="317" t="str">
        <f>VLOOKUP(B52,пр.взв.!B4:E103,2,FALSE)</f>
        <v>НАЗАРЕНКО Олеся Евгеньевна</v>
      </c>
      <c r="D52" s="262" t="str">
        <f>VLOOKUP(B52,пр.взв.!B4:F151,3,FALSE)</f>
        <v>21.03.76 мсмк</v>
      </c>
      <c r="E52" s="262" t="str">
        <f>VLOOKUP(C52,пр.взв.!C4:G151,3,FALSE)</f>
        <v>МОС</v>
      </c>
      <c r="F52" s="262" t="str">
        <f>VLOOKUP(B52,пр.взв.!B8:G151,5,FALSE)</f>
        <v xml:space="preserve">Москва С-70 Д </v>
      </c>
      <c r="G52" s="266"/>
      <c r="H52" s="267"/>
      <c r="I52" s="268"/>
      <c r="J52" s="193"/>
      <c r="K52" s="270">
        <v>4</v>
      </c>
      <c r="L52" s="272">
        <f>пр.хода!I31</f>
        <v>12</v>
      </c>
      <c r="M52" s="274" t="str">
        <f>VLOOKUP(L52,пр.взв.!B4:E103,2,FALSE)</f>
        <v xml:space="preserve"> Кабанова Екатерина Александровна</v>
      </c>
      <c r="N52" s="262" t="str">
        <f>VLOOKUP(L52,пр.взв.!B4:F151,3,FALSE)</f>
        <v xml:space="preserve"> 13.01.91 мс</v>
      </c>
      <c r="O52" s="262" t="str">
        <f>VLOOKUP(M52,пр.взв.!C4:G151,3,FALSE)</f>
        <v>МОС</v>
      </c>
      <c r="P52" s="262" t="str">
        <f>VLOOKUP(L52,пр.взв.!B8:G151,5,FALSE)</f>
        <v>Москва МКС</v>
      </c>
      <c r="Q52" s="266"/>
      <c r="R52" s="267"/>
      <c r="S52" s="268"/>
      <c r="T52" s="193"/>
    </row>
    <row r="53" spans="1:20" hidden="1">
      <c r="A53" s="270"/>
      <c r="B53" s="273"/>
      <c r="C53" s="289"/>
      <c r="D53" s="265"/>
      <c r="E53" s="265"/>
      <c r="F53" s="265"/>
      <c r="G53" s="265"/>
      <c r="H53" s="265"/>
      <c r="I53" s="269"/>
      <c r="J53" s="181"/>
      <c r="K53" s="270"/>
      <c r="L53" s="273"/>
      <c r="M53" s="275"/>
      <c r="N53" s="265"/>
      <c r="O53" s="265"/>
      <c r="P53" s="265"/>
      <c r="Q53" s="265"/>
      <c r="R53" s="265"/>
      <c r="S53" s="269"/>
      <c r="T53" s="181"/>
    </row>
    <row r="54" spans="1:20" hidden="1">
      <c r="A54" s="270"/>
      <c r="B54" s="256">
        <f>пр.хода!A33</f>
        <v>7</v>
      </c>
      <c r="C54" s="258" t="str">
        <f>VLOOKUP(B54,пр.взв.!B4:E103,2,FALSE)</f>
        <v>Лугова Маргарита Витальевна</v>
      </c>
      <c r="D54" s="260" t="str">
        <f>VLOOKUP(B54,пр.взв.!B4:F153,3,FALSE)</f>
        <v>23.06.92 мс</v>
      </c>
      <c r="E54" s="260" t="str">
        <f>VLOOKUP(C54,пр.взв.!C4:G153,3,FALSE)</f>
        <v>СПБ</v>
      </c>
      <c r="F54" s="262" t="str">
        <f>VLOOKUP(B54,пр.взв.!B10:G153,5,FALSE)</f>
        <v xml:space="preserve">С.Петербург </v>
      </c>
      <c r="G54" s="263"/>
      <c r="H54" s="263"/>
      <c r="I54" s="192"/>
      <c r="J54" s="192"/>
      <c r="K54" s="270"/>
      <c r="L54" s="256">
        <f>пр.хода!I33</f>
        <v>8</v>
      </c>
      <c r="M54" s="276" t="str">
        <f>VLOOKUP(L54,пр.взв.!B4:E103,2,FALSE)</f>
        <v>Петренко Наталья Андреевна</v>
      </c>
      <c r="N54" s="260" t="str">
        <f>VLOOKUP(L54,пр.взв.!B4:F153,3,FALSE)</f>
        <v>22.02.91 мс</v>
      </c>
      <c r="O54" s="260" t="str">
        <f>VLOOKUP(M54,пр.взв.!C4:G153,3,FALSE)</f>
        <v>ЮФО</v>
      </c>
      <c r="P54" s="262" t="str">
        <f>VLOOKUP(L54,пр.взв.!B10:G153,5,FALSE)</f>
        <v xml:space="preserve">Краснодарский, Лабинск  </v>
      </c>
      <c r="Q54" s="263"/>
      <c r="R54" s="263"/>
      <c r="S54" s="192"/>
      <c r="T54" s="192"/>
    </row>
    <row r="55" spans="1:20" ht="13.5" hidden="1" thickBot="1">
      <c r="A55" s="271"/>
      <c r="B55" s="257"/>
      <c r="C55" s="259"/>
      <c r="D55" s="261"/>
      <c r="E55" s="261"/>
      <c r="F55" s="261"/>
      <c r="G55" s="264"/>
      <c r="H55" s="264"/>
      <c r="I55" s="278"/>
      <c r="J55" s="278"/>
      <c r="K55" s="271"/>
      <c r="L55" s="257"/>
      <c r="M55" s="277"/>
      <c r="N55" s="261"/>
      <c r="O55" s="261"/>
      <c r="P55" s="261"/>
      <c r="Q55" s="264"/>
      <c r="R55" s="264"/>
      <c r="S55" s="278"/>
      <c r="T55" s="278"/>
    </row>
    <row r="57" spans="1:20" ht="12.75" hidden="1" customHeight="1">
      <c r="A57" s="300" t="s">
        <v>42</v>
      </c>
      <c r="B57" s="291" t="s">
        <v>4</v>
      </c>
      <c r="C57" s="293" t="s">
        <v>5</v>
      </c>
      <c r="D57" s="282" t="s">
        <v>13</v>
      </c>
      <c r="E57" s="306" t="s">
        <v>14</v>
      </c>
      <c r="F57" s="307"/>
      <c r="G57" s="293" t="s">
        <v>15</v>
      </c>
      <c r="H57" s="296" t="s">
        <v>43</v>
      </c>
      <c r="I57" s="298" t="s">
        <v>16</v>
      </c>
      <c r="J57" s="285" t="s">
        <v>17</v>
      </c>
      <c r="K57" s="300" t="s">
        <v>42</v>
      </c>
      <c r="L57" s="334" t="s">
        <v>4</v>
      </c>
      <c r="M57" s="293" t="s">
        <v>5</v>
      </c>
      <c r="N57" s="282" t="s">
        <v>13</v>
      </c>
      <c r="O57" s="302" t="s">
        <v>14</v>
      </c>
      <c r="P57" s="303"/>
      <c r="Q57" s="293" t="s">
        <v>15</v>
      </c>
      <c r="R57" s="296" t="s">
        <v>43</v>
      </c>
      <c r="S57" s="298" t="s">
        <v>16</v>
      </c>
      <c r="T57" s="285" t="s">
        <v>17</v>
      </c>
    </row>
    <row r="58" spans="1:20" ht="13.5" hidden="1" customHeight="1" thickBot="1">
      <c r="A58" s="301"/>
      <c r="B58" s="292" t="s">
        <v>36</v>
      </c>
      <c r="C58" s="294"/>
      <c r="D58" s="295"/>
      <c r="E58" s="308"/>
      <c r="F58" s="309"/>
      <c r="G58" s="294"/>
      <c r="H58" s="297"/>
      <c r="I58" s="299"/>
      <c r="J58" s="286" t="s">
        <v>37</v>
      </c>
      <c r="K58" s="301"/>
      <c r="L58" s="335" t="s">
        <v>36</v>
      </c>
      <c r="M58" s="294"/>
      <c r="N58" s="295"/>
      <c r="O58" s="304"/>
      <c r="P58" s="305"/>
      <c r="Q58" s="294"/>
      <c r="R58" s="297"/>
      <c r="S58" s="299"/>
      <c r="T58" s="286" t="s">
        <v>37</v>
      </c>
    </row>
    <row r="59" spans="1:20" hidden="1">
      <c r="A59" s="283">
        <v>1</v>
      </c>
      <c r="B59" s="336">
        <f>пр.хода!C26</f>
        <v>5</v>
      </c>
      <c r="C59" s="288" t="str">
        <f>VLOOKUP(B59,пр.взв.!B1:E114,2,FALSE)</f>
        <v>Власова Александра Игоревна</v>
      </c>
      <c r="D59" s="262" t="str">
        <f>VLOOKUP(B59,пр.взв.!B1:F158,3,FALSE)</f>
        <v>15.05.96 кмс</v>
      </c>
      <c r="E59" s="262" t="str">
        <f>VLOOKUP(C59,пр.взв.!C1:G158,3,FALSE)</f>
        <v>ПФО</v>
      </c>
      <c r="F59" s="262" t="str">
        <f>VLOOKUP(B59,пр.взв.!B5:G158,5,FALSE)</f>
        <v>Саратовская, Саратов</v>
      </c>
      <c r="G59" s="290"/>
      <c r="H59" s="280"/>
      <c r="I59" s="281"/>
      <c r="J59" s="282"/>
      <c r="K59" s="283">
        <v>2</v>
      </c>
      <c r="L59" s="315">
        <f>пр.хода!M26</f>
        <v>10</v>
      </c>
      <c r="M59" s="279" t="str">
        <f>VLOOKUP(L59,пр.взв.!B1:E114,2,FALSE)</f>
        <v>Вереденко Дарья Андреевна</v>
      </c>
      <c r="N59" s="262" t="str">
        <f>VLOOKUP(L59,пр.взв.!B1:F158,3,FALSE)</f>
        <v>12.06.95 мс</v>
      </c>
      <c r="O59" s="262" t="str">
        <f>VLOOKUP(M59,пр.взв.!C1:G158,3,FALSE)</f>
        <v>ДФО</v>
      </c>
      <c r="P59" s="262" t="str">
        <f>VLOOKUP(L59,пр.взв.!B1:G158,5,FALSE)</f>
        <v>Приморский</v>
      </c>
      <c r="Q59" s="266"/>
      <c r="R59" s="267"/>
      <c r="S59" s="268"/>
      <c r="T59" s="193"/>
    </row>
    <row r="60" spans="1:20" hidden="1">
      <c r="A60" s="270"/>
      <c r="B60" s="337"/>
      <c r="C60" s="289"/>
      <c r="D60" s="265"/>
      <c r="E60" s="265"/>
      <c r="F60" s="265"/>
      <c r="G60" s="265"/>
      <c r="H60" s="265"/>
      <c r="I60" s="269"/>
      <c r="J60" s="181"/>
      <c r="K60" s="270"/>
      <c r="L60" s="337"/>
      <c r="M60" s="275"/>
      <c r="N60" s="265"/>
      <c r="O60" s="265"/>
      <c r="P60" s="265"/>
      <c r="Q60" s="265"/>
      <c r="R60" s="265"/>
      <c r="S60" s="269"/>
      <c r="T60" s="181"/>
    </row>
    <row r="61" spans="1:20" hidden="1">
      <c r="A61" s="270"/>
      <c r="B61" s="316">
        <f>пр.хода!C32</f>
        <v>7</v>
      </c>
      <c r="C61" s="258" t="str">
        <f>VLOOKUP(B61,пр.взв.!B1:E114,2,FALSE)</f>
        <v>Лугова Маргарита Витальевна</v>
      </c>
      <c r="D61" s="260" t="str">
        <f>VLOOKUP(B61,пр.взв.!B1:F160,3,FALSE)</f>
        <v>23.06.92 мс</v>
      </c>
      <c r="E61" s="260" t="str">
        <f>VLOOKUP(C61,пр.взв.!C1:G160,3,FALSE)</f>
        <v>СПБ</v>
      </c>
      <c r="F61" s="260" t="str">
        <f>VLOOKUP(B61,пр.взв.!B1:G160,5,FALSE)</f>
        <v xml:space="preserve">С.Петербург </v>
      </c>
      <c r="G61" s="263"/>
      <c r="H61" s="263"/>
      <c r="I61" s="192"/>
      <c r="J61" s="192"/>
      <c r="K61" s="270"/>
      <c r="L61" s="316">
        <f>пр.хода!M32</f>
        <v>12</v>
      </c>
      <c r="M61" s="276" t="str">
        <f>VLOOKUP(L61,пр.взв.!B1:E114,2,FALSE)</f>
        <v xml:space="preserve"> Кабанова Екатерина Александровна</v>
      </c>
      <c r="N61" s="260" t="str">
        <f>VLOOKUP(L61,пр.взв.!B1:F160,3,FALSE)</f>
        <v xml:space="preserve"> 13.01.91 мс</v>
      </c>
      <c r="O61" s="260" t="str">
        <f>VLOOKUP(M61,пр.взв.!C1:G160,3,FALSE)</f>
        <v>МОС</v>
      </c>
      <c r="P61" s="260" t="str">
        <f>VLOOKUP(L61,пр.взв.!B1:G160,5,FALSE)</f>
        <v>Москва МКС</v>
      </c>
      <c r="Q61" s="263"/>
      <c r="R61" s="263"/>
      <c r="S61" s="192"/>
      <c r="T61" s="192"/>
    </row>
    <row r="62" spans="1:20" ht="13.5" hidden="1" thickBot="1">
      <c r="A62" s="271"/>
      <c r="B62" s="338"/>
      <c r="C62" s="259"/>
      <c r="D62" s="261"/>
      <c r="E62" s="261"/>
      <c r="F62" s="261"/>
      <c r="G62" s="264"/>
      <c r="H62" s="264"/>
      <c r="I62" s="278"/>
      <c r="J62" s="278"/>
      <c r="K62" s="271"/>
      <c r="L62" s="338"/>
      <c r="M62" s="277"/>
      <c r="N62" s="261"/>
      <c r="O62" s="261"/>
      <c r="P62" s="261"/>
      <c r="Q62" s="264"/>
      <c r="R62" s="264"/>
      <c r="S62" s="278"/>
      <c r="T62" s="278"/>
    </row>
  </sheetData>
  <mergeCells count="476">
    <mergeCell ref="A57:A58"/>
    <mergeCell ref="B57:B58"/>
    <mergeCell ref="C57:C58"/>
    <mergeCell ref="D57:D58"/>
    <mergeCell ref="N57:N58"/>
    <mergeCell ref="A52:A55"/>
    <mergeCell ref="B52:B53"/>
    <mergeCell ref="C52:C53"/>
    <mergeCell ref="E48:E49"/>
    <mergeCell ref="O57:P58"/>
    <mergeCell ref="E57:F58"/>
    <mergeCell ref="O59:O60"/>
    <mergeCell ref="O54:O55"/>
    <mergeCell ref="O52:O53"/>
    <mergeCell ref="O50:O51"/>
    <mergeCell ref="O48:O49"/>
    <mergeCell ref="N59:N60"/>
    <mergeCell ref="P59:P60"/>
    <mergeCell ref="G57:G58"/>
    <mergeCell ref="H57:H58"/>
    <mergeCell ref="I57:I58"/>
    <mergeCell ref="E19:E20"/>
    <mergeCell ref="E17:E18"/>
    <mergeCell ref="E15:E16"/>
    <mergeCell ref="E13:E14"/>
    <mergeCell ref="E11:E12"/>
    <mergeCell ref="E9:E10"/>
    <mergeCell ref="E29:E30"/>
    <mergeCell ref="E27:E28"/>
    <mergeCell ref="O37:P38"/>
    <mergeCell ref="E37:F38"/>
    <mergeCell ref="H27:H28"/>
    <mergeCell ref="I27:I28"/>
    <mergeCell ref="J27:J28"/>
    <mergeCell ref="K27:K30"/>
    <mergeCell ref="E31:E32"/>
    <mergeCell ref="M17:M18"/>
    <mergeCell ref="N19:N20"/>
    <mergeCell ref="P19:P20"/>
    <mergeCell ref="N25:N26"/>
    <mergeCell ref="N31:N32"/>
    <mergeCell ref="P31:P32"/>
    <mergeCell ref="T59:T60"/>
    <mergeCell ref="B61:B62"/>
    <mergeCell ref="C61:C62"/>
    <mergeCell ref="D61:D62"/>
    <mergeCell ref="F61:F62"/>
    <mergeCell ref="G61:G62"/>
    <mergeCell ref="H61:H62"/>
    <mergeCell ref="I61:I62"/>
    <mergeCell ref="J61:J62"/>
    <mergeCell ref="S61:S62"/>
    <mergeCell ref="T61:T62"/>
    <mergeCell ref="N61:N62"/>
    <mergeCell ref="P61:P62"/>
    <mergeCell ref="Q61:Q62"/>
    <mergeCell ref="R61:R62"/>
    <mergeCell ref="O61:O62"/>
    <mergeCell ref="E61:E62"/>
    <mergeCell ref="E59:E60"/>
    <mergeCell ref="R57:R58"/>
    <mergeCell ref="J57:J58"/>
    <mergeCell ref="K57:K58"/>
    <mergeCell ref="L57:L58"/>
    <mergeCell ref="M57:M58"/>
    <mergeCell ref="S57:S58"/>
    <mergeCell ref="T57:T58"/>
    <mergeCell ref="A59:A62"/>
    <mergeCell ref="B59:B60"/>
    <mergeCell ref="C59:C60"/>
    <mergeCell ref="D59:D60"/>
    <mergeCell ref="F59:F60"/>
    <mergeCell ref="G59:G60"/>
    <mergeCell ref="H59:H60"/>
    <mergeCell ref="I59:I60"/>
    <mergeCell ref="Q59:Q60"/>
    <mergeCell ref="R59:R60"/>
    <mergeCell ref="J59:J60"/>
    <mergeCell ref="K59:K62"/>
    <mergeCell ref="L59:L60"/>
    <mergeCell ref="M59:M60"/>
    <mergeCell ref="L61:L62"/>
    <mergeCell ref="M61:M62"/>
    <mergeCell ref="S59:S60"/>
    <mergeCell ref="Q57:Q58"/>
    <mergeCell ref="B1:J1"/>
    <mergeCell ref="L1:T1"/>
    <mergeCell ref="B2:J2"/>
    <mergeCell ref="L2:T2"/>
    <mergeCell ref="G5:G6"/>
    <mergeCell ref="H5:H6"/>
    <mergeCell ref="I5:I6"/>
    <mergeCell ref="L5:L6"/>
    <mergeCell ref="M5:M6"/>
    <mergeCell ref="N5:N6"/>
    <mergeCell ref="Q5:Q6"/>
    <mergeCell ref="R5:R6"/>
    <mergeCell ref="S5:S6"/>
    <mergeCell ref="T5:T6"/>
    <mergeCell ref="O5:P6"/>
    <mergeCell ref="J5:J6"/>
    <mergeCell ref="K5:K6"/>
    <mergeCell ref="G7:G8"/>
    <mergeCell ref="H7:H8"/>
    <mergeCell ref="G9:G10"/>
    <mergeCell ref="H9:H10"/>
    <mergeCell ref="N7:N8"/>
    <mergeCell ref="P7:P8"/>
    <mergeCell ref="A7:A10"/>
    <mergeCell ref="B7:B8"/>
    <mergeCell ref="C7:C8"/>
    <mergeCell ref="D7:D8"/>
    <mergeCell ref="F7:F8"/>
    <mergeCell ref="A5:A6"/>
    <mergeCell ref="B5:B6"/>
    <mergeCell ref="C5:C6"/>
    <mergeCell ref="D5:D6"/>
    <mergeCell ref="E5:F6"/>
    <mergeCell ref="B9:B10"/>
    <mergeCell ref="C9:C10"/>
    <mergeCell ref="D9:D10"/>
    <mergeCell ref="F9:F10"/>
    <mergeCell ref="E7:E8"/>
    <mergeCell ref="Q7:Q8"/>
    <mergeCell ref="R7:R8"/>
    <mergeCell ref="S7:S8"/>
    <mergeCell ref="T7:T8"/>
    <mergeCell ref="O7:O8"/>
    <mergeCell ref="I7:I8"/>
    <mergeCell ref="J7:J8"/>
    <mergeCell ref="K7:K10"/>
    <mergeCell ref="L7:L8"/>
    <mergeCell ref="M7:M8"/>
    <mergeCell ref="L9:L10"/>
    <mergeCell ref="M9:M10"/>
    <mergeCell ref="I9:I10"/>
    <mergeCell ref="J9:J10"/>
    <mergeCell ref="T9:T10"/>
    <mergeCell ref="N9:N10"/>
    <mergeCell ref="P9:P10"/>
    <mergeCell ref="O9:O10"/>
    <mergeCell ref="Q9:Q10"/>
    <mergeCell ref="R9:R10"/>
    <mergeCell ref="S9:S10"/>
    <mergeCell ref="A11:A14"/>
    <mergeCell ref="B11:B12"/>
    <mergeCell ref="C11:C12"/>
    <mergeCell ref="D11:D12"/>
    <mergeCell ref="F11:F12"/>
    <mergeCell ref="G11:G12"/>
    <mergeCell ref="H11:H12"/>
    <mergeCell ref="I11:I12"/>
    <mergeCell ref="J11:J12"/>
    <mergeCell ref="B13:B14"/>
    <mergeCell ref="C13:C14"/>
    <mergeCell ref="D13:D14"/>
    <mergeCell ref="F13:F14"/>
    <mergeCell ref="G13:G14"/>
    <mergeCell ref="H13:H14"/>
    <mergeCell ref="I13:I14"/>
    <mergeCell ref="J13:J14"/>
    <mergeCell ref="R11:R12"/>
    <mergeCell ref="S11:S12"/>
    <mergeCell ref="T11:T12"/>
    <mergeCell ref="O11:O12"/>
    <mergeCell ref="K11:K14"/>
    <mergeCell ref="L11:L12"/>
    <mergeCell ref="M11:M12"/>
    <mergeCell ref="L13:L14"/>
    <mergeCell ref="M13:M14"/>
    <mergeCell ref="N11:N12"/>
    <mergeCell ref="P11:P12"/>
    <mergeCell ref="Q11:Q12"/>
    <mergeCell ref="C17:C18"/>
    <mergeCell ref="D17:D18"/>
    <mergeCell ref="F17:F18"/>
    <mergeCell ref="N13:N14"/>
    <mergeCell ref="P13:P14"/>
    <mergeCell ref="Q13:Q14"/>
    <mergeCell ref="R13:R14"/>
    <mergeCell ref="S13:S14"/>
    <mergeCell ref="T13:T14"/>
    <mergeCell ref="O13:O14"/>
    <mergeCell ref="N15:N16"/>
    <mergeCell ref="P15:P16"/>
    <mergeCell ref="Q15:Q16"/>
    <mergeCell ref="R15:R16"/>
    <mergeCell ref="S15:S16"/>
    <mergeCell ref="T15:T16"/>
    <mergeCell ref="O15:O16"/>
    <mergeCell ref="H15:H16"/>
    <mergeCell ref="I15:I16"/>
    <mergeCell ref="J15:J16"/>
    <mergeCell ref="K15:K18"/>
    <mergeCell ref="L15:L16"/>
    <mergeCell ref="M15:M16"/>
    <mergeCell ref="L17:L18"/>
    <mergeCell ref="Q17:Q18"/>
    <mergeCell ref="R17:R18"/>
    <mergeCell ref="S17:S18"/>
    <mergeCell ref="T17:T18"/>
    <mergeCell ref="A19:A22"/>
    <mergeCell ref="B19:B20"/>
    <mergeCell ref="C19:C20"/>
    <mergeCell ref="D19:D20"/>
    <mergeCell ref="F19:F20"/>
    <mergeCell ref="G19:G20"/>
    <mergeCell ref="G17:G18"/>
    <mergeCell ref="H17:H18"/>
    <mergeCell ref="I17:I18"/>
    <mergeCell ref="J17:J18"/>
    <mergeCell ref="N17:N18"/>
    <mergeCell ref="P17:P18"/>
    <mergeCell ref="O17:O18"/>
    <mergeCell ref="A15:A18"/>
    <mergeCell ref="B15:B16"/>
    <mergeCell ref="C15:C16"/>
    <mergeCell ref="D15:D16"/>
    <mergeCell ref="F15:F16"/>
    <mergeCell ref="G15:G16"/>
    <mergeCell ref="B17:B18"/>
    <mergeCell ref="Q19:Q20"/>
    <mergeCell ref="R19:R20"/>
    <mergeCell ref="S19:S20"/>
    <mergeCell ref="T19:T20"/>
    <mergeCell ref="O19:O20"/>
    <mergeCell ref="H19:H20"/>
    <mergeCell ref="I19:I20"/>
    <mergeCell ref="J19:J20"/>
    <mergeCell ref="K19:K22"/>
    <mergeCell ref="L19:L20"/>
    <mergeCell ref="M19:M20"/>
    <mergeCell ref="L21:L22"/>
    <mergeCell ref="M21:M22"/>
    <mergeCell ref="I21:I22"/>
    <mergeCell ref="J21:J22"/>
    <mergeCell ref="R21:R22"/>
    <mergeCell ref="S21:S22"/>
    <mergeCell ref="T21:T22"/>
    <mergeCell ref="O21:O22"/>
    <mergeCell ref="N21:N22"/>
    <mergeCell ref="P21:P22"/>
    <mergeCell ref="Q21:Q22"/>
    <mergeCell ref="B21:B22"/>
    <mergeCell ref="C21:C22"/>
    <mergeCell ref="D21:D22"/>
    <mergeCell ref="F21:F22"/>
    <mergeCell ref="G21:G22"/>
    <mergeCell ref="H21:H22"/>
    <mergeCell ref="E21:E22"/>
    <mergeCell ref="A25:A26"/>
    <mergeCell ref="B25:B26"/>
    <mergeCell ref="C25:C26"/>
    <mergeCell ref="D25:D26"/>
    <mergeCell ref="G25:G26"/>
    <mergeCell ref="E25:F26"/>
    <mergeCell ref="Q25:Q26"/>
    <mergeCell ref="R25:R26"/>
    <mergeCell ref="S25:S26"/>
    <mergeCell ref="T25:T26"/>
    <mergeCell ref="O25:P26"/>
    <mergeCell ref="H25:H26"/>
    <mergeCell ref="I25:I26"/>
    <mergeCell ref="J25:J26"/>
    <mergeCell ref="K25:K26"/>
    <mergeCell ref="L25:L26"/>
    <mergeCell ref="M25:M26"/>
    <mergeCell ref="Q27:Q28"/>
    <mergeCell ref="R27:R28"/>
    <mergeCell ref="S27:S28"/>
    <mergeCell ref="T27:T28"/>
    <mergeCell ref="G29:G30"/>
    <mergeCell ref="H29:H30"/>
    <mergeCell ref="I29:I30"/>
    <mergeCell ref="J29:J30"/>
    <mergeCell ref="N29:N30"/>
    <mergeCell ref="P29:P30"/>
    <mergeCell ref="L27:L28"/>
    <mergeCell ref="M27:M28"/>
    <mergeCell ref="L29:L30"/>
    <mergeCell ref="M29:M30"/>
    <mergeCell ref="N27:N28"/>
    <mergeCell ref="P27:P28"/>
    <mergeCell ref="O29:O30"/>
    <mergeCell ref="O27:O28"/>
    <mergeCell ref="G27:G28"/>
    <mergeCell ref="Q29:Q30"/>
    <mergeCell ref="R29:R30"/>
    <mergeCell ref="S29:S30"/>
    <mergeCell ref="T29:T30"/>
    <mergeCell ref="A31:A34"/>
    <mergeCell ref="B31:B32"/>
    <mergeCell ref="C31:C32"/>
    <mergeCell ref="D31:D32"/>
    <mergeCell ref="F31:F32"/>
    <mergeCell ref="G31:G32"/>
    <mergeCell ref="A27:A30"/>
    <mergeCell ref="B27:B28"/>
    <mergeCell ref="C27:C28"/>
    <mergeCell ref="D27:D28"/>
    <mergeCell ref="F27:F28"/>
    <mergeCell ref="B29:B30"/>
    <mergeCell ref="C29:C30"/>
    <mergeCell ref="D29:D30"/>
    <mergeCell ref="F29:F30"/>
    <mergeCell ref="B33:B34"/>
    <mergeCell ref="C33:C34"/>
    <mergeCell ref="D33:D34"/>
    <mergeCell ref="F33:F34"/>
    <mergeCell ref="G33:G34"/>
    <mergeCell ref="E33:E34"/>
    <mergeCell ref="Q31:Q32"/>
    <mergeCell ref="R31:R32"/>
    <mergeCell ref="S31:S32"/>
    <mergeCell ref="T31:T32"/>
    <mergeCell ref="O31:O32"/>
    <mergeCell ref="H31:H32"/>
    <mergeCell ref="I31:I32"/>
    <mergeCell ref="J31:J32"/>
    <mergeCell ref="K31:K34"/>
    <mergeCell ref="L31:L32"/>
    <mergeCell ref="M31:M32"/>
    <mergeCell ref="L33:L34"/>
    <mergeCell ref="M33:M34"/>
    <mergeCell ref="I33:I34"/>
    <mergeCell ref="J33:J34"/>
    <mergeCell ref="S33:S34"/>
    <mergeCell ref="T33:T34"/>
    <mergeCell ref="N33:N34"/>
    <mergeCell ref="P33:P34"/>
    <mergeCell ref="Q33:Q34"/>
    <mergeCell ref="R33:R34"/>
    <mergeCell ref="O33:O34"/>
    <mergeCell ref="H33:H34"/>
    <mergeCell ref="S37:S38"/>
    <mergeCell ref="T37:T38"/>
    <mergeCell ref="A39:A42"/>
    <mergeCell ref="B39:B40"/>
    <mergeCell ref="C39:C40"/>
    <mergeCell ref="D39:D40"/>
    <mergeCell ref="F39:F40"/>
    <mergeCell ref="G39:G40"/>
    <mergeCell ref="I37:I38"/>
    <mergeCell ref="J37:J38"/>
    <mergeCell ref="K37:K38"/>
    <mergeCell ref="L37:L38"/>
    <mergeCell ref="M37:M38"/>
    <mergeCell ref="N37:N38"/>
    <mergeCell ref="A37:A38"/>
    <mergeCell ref="B37:B38"/>
    <mergeCell ref="C37:C38"/>
    <mergeCell ref="D37:D38"/>
    <mergeCell ref="G37:G38"/>
    <mergeCell ref="H37:H38"/>
    <mergeCell ref="B41:B42"/>
    <mergeCell ref="C41:C42"/>
    <mergeCell ref="D41:D42"/>
    <mergeCell ref="H39:H40"/>
    <mergeCell ref="I39:I40"/>
    <mergeCell ref="E41:E42"/>
    <mergeCell ref="E39:E40"/>
    <mergeCell ref="Q37:Q38"/>
    <mergeCell ref="N39:N40"/>
    <mergeCell ref="P39:P40"/>
    <mergeCell ref="Q39:Q40"/>
    <mergeCell ref="R37:R38"/>
    <mergeCell ref="R39:R40"/>
    <mergeCell ref="S39:S40"/>
    <mergeCell ref="T39:T40"/>
    <mergeCell ref="O41:O42"/>
    <mergeCell ref="O39:O40"/>
    <mergeCell ref="J39:J40"/>
    <mergeCell ref="K39:K42"/>
    <mergeCell ref="L39:L40"/>
    <mergeCell ref="M39:M40"/>
    <mergeCell ref="L41:L42"/>
    <mergeCell ref="M41:M42"/>
    <mergeCell ref="I46:I47"/>
    <mergeCell ref="J46:J47"/>
    <mergeCell ref="K46:K47"/>
    <mergeCell ref="O46:P47"/>
    <mergeCell ref="E46:F47"/>
    <mergeCell ref="K44:T44"/>
    <mergeCell ref="N41:N42"/>
    <mergeCell ref="P41:P42"/>
    <mergeCell ref="Q41:Q42"/>
    <mergeCell ref="R41:R42"/>
    <mergeCell ref="G41:G42"/>
    <mergeCell ref="H41:H42"/>
    <mergeCell ref="I41:I42"/>
    <mergeCell ref="J41:J42"/>
    <mergeCell ref="S41:S42"/>
    <mergeCell ref="T41:T42"/>
    <mergeCell ref="A44:J44"/>
    <mergeCell ref="F41:F42"/>
    <mergeCell ref="A46:A47"/>
    <mergeCell ref="B46:B47"/>
    <mergeCell ref="C46:C47"/>
    <mergeCell ref="K48:K51"/>
    <mergeCell ref="L48:L49"/>
    <mergeCell ref="R50:R51"/>
    <mergeCell ref="S50:S51"/>
    <mergeCell ref="T50:T51"/>
    <mergeCell ref="T46:T47"/>
    <mergeCell ref="A48:A51"/>
    <mergeCell ref="B48:B49"/>
    <mergeCell ref="C48:C49"/>
    <mergeCell ref="D48:D49"/>
    <mergeCell ref="F48:F49"/>
    <mergeCell ref="G48:G49"/>
    <mergeCell ref="B50:B51"/>
    <mergeCell ref="C50:C51"/>
    <mergeCell ref="D50:D51"/>
    <mergeCell ref="L46:L47"/>
    <mergeCell ref="M46:M47"/>
    <mergeCell ref="N46:N47"/>
    <mergeCell ref="Q46:Q47"/>
    <mergeCell ref="R46:R47"/>
    <mergeCell ref="S46:S47"/>
    <mergeCell ref="D46:D47"/>
    <mergeCell ref="G46:G47"/>
    <mergeCell ref="H46:H47"/>
    <mergeCell ref="F50:F51"/>
    <mergeCell ref="E54:E55"/>
    <mergeCell ref="E52:E53"/>
    <mergeCell ref="E50:E51"/>
    <mergeCell ref="N52:N53"/>
    <mergeCell ref="R48:R49"/>
    <mergeCell ref="S48:S49"/>
    <mergeCell ref="T48:T49"/>
    <mergeCell ref="G50:G51"/>
    <mergeCell ref="H50:H51"/>
    <mergeCell ref="I50:I51"/>
    <mergeCell ref="J50:J51"/>
    <mergeCell ref="N50:N51"/>
    <mergeCell ref="P50:P51"/>
    <mergeCell ref="Q50:Q51"/>
    <mergeCell ref="M48:M49"/>
    <mergeCell ref="L50:L51"/>
    <mergeCell ref="M50:M51"/>
    <mergeCell ref="N48:N49"/>
    <mergeCell ref="P48:P49"/>
    <mergeCell ref="Q48:Q49"/>
    <mergeCell ref="H48:H49"/>
    <mergeCell ref="I48:I49"/>
    <mergeCell ref="J48:J49"/>
    <mergeCell ref="S52:S53"/>
    <mergeCell ref="T52:T53"/>
    <mergeCell ref="I52:I53"/>
    <mergeCell ref="J52:J53"/>
    <mergeCell ref="K52:K55"/>
    <mergeCell ref="L52:L53"/>
    <mergeCell ref="M52:M53"/>
    <mergeCell ref="L54:L55"/>
    <mergeCell ref="M54:M55"/>
    <mergeCell ref="I54:I55"/>
    <mergeCell ref="J54:J55"/>
    <mergeCell ref="S54:S55"/>
    <mergeCell ref="T54:T55"/>
    <mergeCell ref="N54:N55"/>
    <mergeCell ref="P54:P55"/>
    <mergeCell ref="Q54:Q55"/>
    <mergeCell ref="R54:R55"/>
    <mergeCell ref="B54:B55"/>
    <mergeCell ref="C54:C55"/>
    <mergeCell ref="D54:D55"/>
    <mergeCell ref="F54:F55"/>
    <mergeCell ref="G54:G55"/>
    <mergeCell ref="H54:H55"/>
    <mergeCell ref="P52:P53"/>
    <mergeCell ref="Q52:Q53"/>
    <mergeCell ref="R52:R53"/>
    <mergeCell ref="D52:D53"/>
    <mergeCell ref="F52:F53"/>
    <mergeCell ref="G52:G53"/>
    <mergeCell ref="H52:H53"/>
  </mergeCells>
  <phoneticPr fontId="12" type="noConversion"/>
  <printOptions horizontalCentered="1"/>
  <pageMargins left="0" right="0" top="0" bottom="0" header="0.51181102362204722" footer="0.51181102362204722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indexed="17"/>
  </sheetPr>
  <dimension ref="A1:I44"/>
  <sheetViews>
    <sheetView topLeftCell="A28" workbookViewId="0">
      <selection activeCell="J19" sqref="J19"/>
    </sheetView>
  </sheetViews>
  <sheetFormatPr defaultRowHeight="12.75"/>
  <cols>
    <col min="1" max="1" width="4.7109375" customWidth="1"/>
    <col min="2" max="2" width="5.140625" customWidth="1"/>
    <col min="3" max="3" width="21.5703125" customWidth="1"/>
    <col min="4" max="4" width="8.42578125" customWidth="1"/>
    <col min="5" max="5" width="6.140625" customWidth="1"/>
    <col min="6" max="6" width="17.85546875" customWidth="1"/>
    <col min="7" max="7" width="22.5703125" customWidth="1"/>
    <col min="8" max="9" width="7.140625" customWidth="1"/>
  </cols>
  <sheetData>
    <row r="1" spans="1:9" ht="32.450000000000003" customHeight="1">
      <c r="A1" s="351" t="str">
        <f>HYPERLINK([1]реквизиты!$A$2)</f>
        <v>Чемпионат России по САМБО среди женщин</v>
      </c>
      <c r="B1" s="352"/>
      <c r="C1" s="352"/>
      <c r="D1" s="352"/>
      <c r="E1" s="352"/>
      <c r="F1" s="352"/>
      <c r="G1" s="352"/>
      <c r="H1" s="352"/>
      <c r="I1" s="352"/>
    </row>
    <row r="2" spans="1:9" ht="27" customHeight="1">
      <c r="D2" s="53"/>
      <c r="E2" s="68" t="str">
        <f>HYPERLINK(пр.взв.!D4)</f>
        <v>в.к. 68  кг.</v>
      </c>
    </row>
    <row r="3" spans="1:9" ht="21.6" customHeight="1">
      <c r="C3" s="54" t="s">
        <v>21</v>
      </c>
    </row>
    <row r="4" spans="1:9" ht="19.899999999999999" customHeight="1">
      <c r="C4" s="55" t="s">
        <v>11</v>
      </c>
    </row>
    <row r="5" spans="1:9" ht="12.75" customHeight="1">
      <c r="A5" s="181" t="s">
        <v>12</v>
      </c>
      <c r="B5" s="181" t="s">
        <v>4</v>
      </c>
      <c r="C5" s="193" t="s">
        <v>5</v>
      </c>
      <c r="D5" s="181" t="s">
        <v>13</v>
      </c>
      <c r="E5" s="339" t="s">
        <v>14</v>
      </c>
      <c r="F5" s="340"/>
      <c r="G5" s="181" t="s">
        <v>15</v>
      </c>
      <c r="H5" s="181" t="s">
        <v>16</v>
      </c>
      <c r="I5" s="181" t="s">
        <v>17</v>
      </c>
    </row>
    <row r="6" spans="1:9">
      <c r="A6" s="192"/>
      <c r="B6" s="192"/>
      <c r="C6" s="192"/>
      <c r="D6" s="192"/>
      <c r="E6" s="341"/>
      <c r="F6" s="342"/>
      <c r="G6" s="192"/>
      <c r="H6" s="192"/>
      <c r="I6" s="192"/>
    </row>
    <row r="7" spans="1:9">
      <c r="A7" s="344"/>
      <c r="B7" s="260">
        <f>пр.хода!D29</f>
        <v>7</v>
      </c>
      <c r="C7" s="345" t="str">
        <f>VLOOKUP(B7,пр.взв.!B7:D62,2,FALSE)</f>
        <v>Лугова Маргарита Витальевна</v>
      </c>
      <c r="D7" s="345" t="str">
        <f>VLOOKUP(B7,пр.взв.!B7:F92,3,FALSE)</f>
        <v>23.06.92 мс</v>
      </c>
      <c r="E7" s="343" t="str">
        <f>VLOOKUP(B7,пр.взв.!B7:F92,4,FALSE)</f>
        <v>СПБ</v>
      </c>
      <c r="F7" s="345" t="str">
        <f>VLOOKUP(B7,пр.взв.!B7:G82,5,FALSE)</f>
        <v xml:space="preserve">С.Петербург </v>
      </c>
      <c r="G7" s="265"/>
      <c r="H7" s="269"/>
      <c r="I7" s="181"/>
    </row>
    <row r="8" spans="1:9">
      <c r="A8" s="344"/>
      <c r="B8" s="181"/>
      <c r="C8" s="345"/>
      <c r="D8" s="345"/>
      <c r="E8" s="343"/>
      <c r="F8" s="345"/>
      <c r="G8" s="265"/>
      <c r="H8" s="269"/>
      <c r="I8" s="181"/>
    </row>
    <row r="9" spans="1:9">
      <c r="A9" s="346"/>
      <c r="B9" s="260">
        <f>пр.хода!C35</f>
        <v>4</v>
      </c>
      <c r="C9" s="345" t="str">
        <f>VLOOKUP(B9,пр.взв.!B9:D64,2,FALSE)</f>
        <v>КРЮКОВА Ольга Владимировна</v>
      </c>
      <c r="D9" s="345" t="str">
        <f>VLOOKUP(B9,пр.взв.!B9:F94,3,FALSE)</f>
        <v>16.03.95 мс</v>
      </c>
      <c r="E9" s="343" t="str">
        <f>VLOOKUP(B9,пр.взв.!B9:F94,4,FALSE)</f>
        <v>ПФО</v>
      </c>
      <c r="F9" s="345" t="str">
        <f>VLOOKUP(B9,пр.взв.!B9:G84,5,FALSE)</f>
        <v xml:space="preserve">Самарская, Самара  </v>
      </c>
      <c r="G9" s="265"/>
      <c r="H9" s="181"/>
      <c r="I9" s="181"/>
    </row>
    <row r="10" spans="1:9">
      <c r="A10" s="346"/>
      <c r="B10" s="181"/>
      <c r="C10" s="345"/>
      <c r="D10" s="345"/>
      <c r="E10" s="343"/>
      <c r="F10" s="345"/>
      <c r="G10" s="265"/>
      <c r="H10" s="181"/>
      <c r="I10" s="181"/>
    </row>
    <row r="11" spans="1:9" ht="29.25" customHeight="1">
      <c r="A11" s="2" t="s">
        <v>18</v>
      </c>
      <c r="B11" s="2"/>
    </row>
    <row r="12" spans="1:9" ht="20.100000000000001" customHeight="1">
      <c r="B12" s="2" t="s">
        <v>0</v>
      </c>
      <c r="C12" s="56"/>
      <c r="D12" s="56"/>
      <c r="E12" s="56"/>
      <c r="F12" s="56"/>
      <c r="G12" s="56"/>
      <c r="H12" s="56"/>
      <c r="I12" s="56"/>
    </row>
    <row r="13" spans="1:9" ht="20.100000000000001" customHeight="1">
      <c r="B13" s="2" t="s">
        <v>1</v>
      </c>
      <c r="C13" s="56"/>
      <c r="D13" s="56"/>
      <c r="E13" s="56"/>
      <c r="F13" s="56"/>
      <c r="G13" s="56"/>
      <c r="H13" s="56"/>
      <c r="I13" s="56"/>
    </row>
    <row r="14" spans="1:9" ht="20.100000000000001" customHeight="1"/>
    <row r="15" spans="1:9" ht="20.100000000000001" customHeight="1">
      <c r="C15" s="61" t="s">
        <v>22</v>
      </c>
    </row>
    <row r="16" spans="1:9" ht="25.15" customHeight="1">
      <c r="C16" s="55" t="s">
        <v>19</v>
      </c>
      <c r="E16" s="68" t="str">
        <f>HYPERLINK(пр.взв.!D4)</f>
        <v>в.к. 68  кг.</v>
      </c>
    </row>
    <row r="17" spans="1:9" ht="12.75" customHeight="1">
      <c r="A17" s="181" t="s">
        <v>12</v>
      </c>
      <c r="B17" s="181" t="s">
        <v>4</v>
      </c>
      <c r="C17" s="193" t="s">
        <v>5</v>
      </c>
      <c r="D17" s="181" t="s">
        <v>13</v>
      </c>
      <c r="E17" s="339" t="s">
        <v>14</v>
      </c>
      <c r="F17" s="340"/>
      <c r="G17" s="181" t="s">
        <v>15</v>
      </c>
      <c r="H17" s="181" t="s">
        <v>16</v>
      </c>
      <c r="I17" s="181" t="s">
        <v>17</v>
      </c>
    </row>
    <row r="18" spans="1:9">
      <c r="A18" s="192"/>
      <c r="B18" s="192"/>
      <c r="C18" s="192"/>
      <c r="D18" s="192"/>
      <c r="E18" s="341"/>
      <c r="F18" s="342"/>
      <c r="G18" s="192"/>
      <c r="H18" s="192"/>
      <c r="I18" s="192"/>
    </row>
    <row r="19" spans="1:9">
      <c r="A19" s="344"/>
      <c r="B19" s="260">
        <f>пр.хода!N29</f>
        <v>12</v>
      </c>
      <c r="C19" s="347" t="str">
        <f>VLOOKUP(B19,пр.взв.!B1:D34,2,FALSE)</f>
        <v xml:space="preserve"> Кабанова Екатерина Александровна</v>
      </c>
      <c r="D19" s="347" t="str">
        <f>VLOOKUP(B19,пр.взв.!B1:F34,3,FALSE)</f>
        <v xml:space="preserve"> 13.01.91 мс</v>
      </c>
      <c r="E19" s="349" t="str">
        <f>VLOOKUP(B19,пр.взв.!B1:F34,4,FALSE)</f>
        <v>МОС</v>
      </c>
      <c r="F19" s="345" t="str">
        <f>VLOOKUP(B19,пр.взв.!B1:G34,5,FALSE)</f>
        <v>Москва МКС</v>
      </c>
      <c r="G19" s="354"/>
      <c r="H19" s="269"/>
      <c r="I19" s="181"/>
    </row>
    <row r="20" spans="1:9">
      <c r="A20" s="344"/>
      <c r="B20" s="181"/>
      <c r="C20" s="348"/>
      <c r="D20" s="348"/>
      <c r="E20" s="350"/>
      <c r="F20" s="345"/>
      <c r="G20" s="354"/>
      <c r="H20" s="269"/>
      <c r="I20" s="181"/>
    </row>
    <row r="21" spans="1:9">
      <c r="A21" s="346"/>
      <c r="B21" s="260">
        <f>пр.хода!M35</f>
        <v>13</v>
      </c>
      <c r="C21" s="347" t="str">
        <f>VLOOKUP(B21,пр.взв.!B1:D36,2,FALSE)</f>
        <v xml:space="preserve">Станкевич Виктория Владимировна </v>
      </c>
      <c r="D21" s="347" t="str">
        <f>VLOOKUP(B21,пр.взв.!B1:F36,3,FALSE)</f>
        <v>12.11.90 мс</v>
      </c>
      <c r="E21" s="349" t="str">
        <f>VLOOKUP(B21,пр.взв.!B2:F36,4,FALSE)</f>
        <v>МОС</v>
      </c>
      <c r="F21" s="345" t="str">
        <f>VLOOKUP(B21,пр.взв.!B1:G36,5,FALSE)</f>
        <v>Москва</v>
      </c>
      <c r="G21" s="354"/>
      <c r="H21" s="181"/>
      <c r="I21" s="181"/>
    </row>
    <row r="22" spans="1:9">
      <c r="A22" s="346"/>
      <c r="B22" s="181"/>
      <c r="C22" s="348"/>
      <c r="D22" s="348"/>
      <c r="E22" s="353"/>
      <c r="F22" s="345"/>
      <c r="G22" s="354"/>
      <c r="H22" s="181"/>
      <c r="I22" s="181"/>
    </row>
    <row r="23" spans="1:9" ht="29.25" customHeight="1">
      <c r="A23" s="2" t="s">
        <v>18</v>
      </c>
      <c r="B23" s="2"/>
    </row>
    <row r="24" spans="1:9" ht="20.100000000000001" customHeight="1">
      <c r="B24" s="2" t="s">
        <v>0</v>
      </c>
      <c r="C24" s="56"/>
      <c r="D24" s="56"/>
      <c r="E24" s="56"/>
      <c r="F24" s="56"/>
      <c r="G24" s="56"/>
      <c r="H24" s="56"/>
      <c r="I24" s="56"/>
    </row>
    <row r="25" spans="1:9" ht="20.100000000000001" customHeight="1">
      <c r="B25" s="2" t="s">
        <v>1</v>
      </c>
      <c r="C25" s="56"/>
      <c r="D25" s="56"/>
      <c r="E25" s="56"/>
      <c r="F25" s="56"/>
      <c r="G25" s="56"/>
      <c r="H25" s="56"/>
      <c r="I25" s="56"/>
    </row>
    <row r="26" spans="1:9" ht="20.100000000000001" customHeight="1"/>
    <row r="27" spans="1:9" ht="20.100000000000001" customHeight="1"/>
    <row r="28" spans="1:9" ht="20.100000000000001" customHeight="1"/>
    <row r="29" spans="1:9" ht="15.75">
      <c r="C29" s="47" t="s">
        <v>20</v>
      </c>
      <c r="E29" s="68" t="str">
        <f>HYPERLINK(пр.взв.!D4)</f>
        <v>в.к. 68  кг.</v>
      </c>
    </row>
    <row r="30" spans="1:9" ht="12.75" customHeight="1">
      <c r="A30" s="181" t="s">
        <v>12</v>
      </c>
      <c r="B30" s="181" t="s">
        <v>4</v>
      </c>
      <c r="C30" s="193" t="s">
        <v>5</v>
      </c>
      <c r="D30" s="181" t="s">
        <v>13</v>
      </c>
      <c r="E30" s="339" t="s">
        <v>14</v>
      </c>
      <c r="F30" s="340"/>
      <c r="G30" s="181" t="s">
        <v>15</v>
      </c>
      <c r="H30" s="181" t="s">
        <v>16</v>
      </c>
      <c r="I30" s="181" t="s">
        <v>17</v>
      </c>
    </row>
    <row r="31" spans="1:9">
      <c r="A31" s="192"/>
      <c r="B31" s="192"/>
      <c r="C31" s="192"/>
      <c r="D31" s="192"/>
      <c r="E31" s="341"/>
      <c r="F31" s="342"/>
      <c r="G31" s="192"/>
      <c r="H31" s="192"/>
      <c r="I31" s="192"/>
    </row>
    <row r="32" spans="1:9">
      <c r="A32" s="344"/>
      <c r="B32" s="260">
        <f>пр.хода!I14</f>
        <v>11</v>
      </c>
      <c r="C32" s="345" t="str">
        <f>VLOOKUP(B32,пр.взв.!B3:D47,2,FALSE)</f>
        <v>ГУРЦИЕВА Маргарита Касполатовна</v>
      </c>
      <c r="D32" s="345" t="str">
        <f>VLOOKUP(B32,пр.взв.!B3:F47,3,FALSE)</f>
        <v>15.04.88 мсмк</v>
      </c>
      <c r="E32" s="343" t="str">
        <f>VLOOKUP(B32,пр.взв.!B3:F47,4,FALSE)</f>
        <v>СКФО</v>
      </c>
      <c r="F32" s="345" t="str">
        <f>VLOOKUP(B32,пр.взв.!B3:G47,5,FALSE)</f>
        <v>РСО-Алания, Владикавказ Д</v>
      </c>
      <c r="G32" s="265"/>
      <c r="H32" s="269"/>
      <c r="I32" s="181"/>
    </row>
    <row r="33" spans="1:9">
      <c r="A33" s="344"/>
      <c r="B33" s="181"/>
      <c r="C33" s="345"/>
      <c r="D33" s="345"/>
      <c r="E33" s="343"/>
      <c r="F33" s="345"/>
      <c r="G33" s="265"/>
      <c r="H33" s="269"/>
      <c r="I33" s="181"/>
    </row>
    <row r="34" spans="1:9">
      <c r="A34" s="346"/>
      <c r="B34" s="260">
        <f>пр.хода!M14</f>
        <v>14</v>
      </c>
      <c r="C34" s="345" t="str">
        <f>VLOOKUP(B34,пр.взв.!B3:D49,2,FALSE)</f>
        <v>Мохнаткина Марина Юрьевна</v>
      </c>
      <c r="D34" s="345" t="str">
        <f>VLOOKUP(B34,пр.взв.!B3:F49,3,FALSE)</f>
        <v>12.05.88 змс</v>
      </c>
      <c r="E34" s="343" t="str">
        <f>VLOOKUP(B34,пр.взв.!B3:F49,4,FALSE)</f>
        <v>ПФО</v>
      </c>
      <c r="F34" s="345" t="str">
        <f>VLOOKUP(B34,пр.взв.!B3:G49,5,FALSE)</f>
        <v>Пермский Пермь Д</v>
      </c>
      <c r="G34" s="265"/>
      <c r="H34" s="181"/>
      <c r="I34" s="181"/>
    </row>
    <row r="35" spans="1:9">
      <c r="A35" s="346"/>
      <c r="B35" s="181"/>
      <c r="C35" s="345"/>
      <c r="D35" s="345"/>
      <c r="E35" s="343"/>
      <c r="F35" s="345"/>
      <c r="G35" s="265"/>
      <c r="H35" s="181"/>
      <c r="I35" s="181"/>
    </row>
    <row r="36" spans="1:9" ht="36" customHeight="1">
      <c r="A36" s="2" t="s">
        <v>18</v>
      </c>
      <c r="B36" s="2"/>
    </row>
    <row r="37" spans="1:9" ht="20.100000000000001" customHeight="1">
      <c r="B37" s="2" t="s">
        <v>0</v>
      </c>
      <c r="C37" s="56"/>
      <c r="D37" s="56"/>
      <c r="E37" s="56"/>
      <c r="F37" s="56"/>
      <c r="G37" s="56"/>
      <c r="H37" s="56"/>
      <c r="I37" s="56"/>
    </row>
    <row r="38" spans="1:9" ht="20.100000000000001" customHeight="1">
      <c r="B38" s="2" t="s">
        <v>1</v>
      </c>
      <c r="C38" s="56"/>
      <c r="D38" s="56"/>
      <c r="E38" s="56"/>
      <c r="F38" s="56"/>
      <c r="G38" s="56"/>
      <c r="H38" s="56"/>
      <c r="I38" s="56"/>
    </row>
    <row r="39" spans="1:9" ht="20.100000000000001" customHeight="1"/>
    <row r="42" spans="1:9">
      <c r="A42" s="48" t="str">
        <f>HYPERLINK([1]реквизиты!$A$20)</f>
        <v/>
      </c>
      <c r="B42" s="49"/>
      <c r="C42" s="49"/>
      <c r="D42" s="49"/>
      <c r="E42" s="4"/>
      <c r="F42" s="57" t="str">
        <f>HYPERLINK([1]реквизиты!$G$20)</f>
        <v/>
      </c>
      <c r="G42" s="51" t="str">
        <f>HYPERLINK([1]реквизиты!$G$21)</f>
        <v/>
      </c>
    </row>
    <row r="43" spans="1:9">
      <c r="A43" s="49"/>
      <c r="B43" s="49"/>
      <c r="C43" s="49"/>
      <c r="D43" s="49"/>
      <c r="E43" s="4"/>
      <c r="F43" s="8"/>
      <c r="G43" s="4"/>
    </row>
    <row r="44" spans="1:9">
      <c r="A44" s="50" t="str">
        <f>HYPERLINK([1]реквизиты!$A$22)</f>
        <v/>
      </c>
      <c r="C44" s="49"/>
      <c r="D44" s="49"/>
      <c r="E44" s="50"/>
      <c r="F44" s="57" t="str">
        <f>HYPERLINK([1]реквизиты!$G$22)</f>
        <v/>
      </c>
      <c r="G44" s="52" t="str">
        <f>HYPERLINK([1]реквизиты!$G$23)</f>
        <v/>
      </c>
    </row>
  </sheetData>
  <mergeCells count="79">
    <mergeCell ref="I34:I35"/>
    <mergeCell ref="I17:I18"/>
    <mergeCell ref="I19:I20"/>
    <mergeCell ref="I21:I22"/>
    <mergeCell ref="E30:F31"/>
    <mergeCell ref="I30:I31"/>
    <mergeCell ref="F32:F33"/>
    <mergeCell ref="G32:G33"/>
    <mergeCell ref="H32:H33"/>
    <mergeCell ref="F21:F22"/>
    <mergeCell ref="G21:G22"/>
    <mergeCell ref="H21:H22"/>
    <mergeCell ref="G19:G20"/>
    <mergeCell ref="I32:I33"/>
    <mergeCell ref="A1:I1"/>
    <mergeCell ref="E34:E35"/>
    <mergeCell ref="F34:F35"/>
    <mergeCell ref="G34:G35"/>
    <mergeCell ref="H34:H35"/>
    <mergeCell ref="A34:A35"/>
    <mergeCell ref="B34:B35"/>
    <mergeCell ref="C34:C35"/>
    <mergeCell ref="D34:D35"/>
    <mergeCell ref="E32:E33"/>
    <mergeCell ref="I5:I6"/>
    <mergeCell ref="I7:I8"/>
    <mergeCell ref="I9:I10"/>
    <mergeCell ref="G30:G31"/>
    <mergeCell ref="H30:H31"/>
    <mergeCell ref="E21:E22"/>
    <mergeCell ref="A32:A33"/>
    <mergeCell ref="B32:B33"/>
    <mergeCell ref="C32:C33"/>
    <mergeCell ref="D32:D33"/>
    <mergeCell ref="A30:A31"/>
    <mergeCell ref="B30:B31"/>
    <mergeCell ref="C30:C31"/>
    <mergeCell ref="D30:D31"/>
    <mergeCell ref="A21:A22"/>
    <mergeCell ref="B21:B22"/>
    <mergeCell ref="C21:C22"/>
    <mergeCell ref="D21:D22"/>
    <mergeCell ref="E19:E20"/>
    <mergeCell ref="H9:H10"/>
    <mergeCell ref="H19:H20"/>
    <mergeCell ref="A19:A20"/>
    <mergeCell ref="B19:B20"/>
    <mergeCell ref="C19:C20"/>
    <mergeCell ref="D19:D20"/>
    <mergeCell ref="G17:G18"/>
    <mergeCell ref="H17:H18"/>
    <mergeCell ref="E17:F18"/>
    <mergeCell ref="A17:A18"/>
    <mergeCell ref="B17:B18"/>
    <mergeCell ref="F19:F20"/>
    <mergeCell ref="C17:C18"/>
    <mergeCell ref="D17:D18"/>
    <mergeCell ref="E9:E10"/>
    <mergeCell ref="F9:F10"/>
    <mergeCell ref="G9:G10"/>
    <mergeCell ref="A9:A10"/>
    <mergeCell ref="B9:B10"/>
    <mergeCell ref="C9:C10"/>
    <mergeCell ref="D9:D10"/>
    <mergeCell ref="E7:E8"/>
    <mergeCell ref="G7:G8"/>
    <mergeCell ref="H7:H8"/>
    <mergeCell ref="A7:A8"/>
    <mergeCell ref="B7:B8"/>
    <mergeCell ref="C7:C8"/>
    <mergeCell ref="D7:D8"/>
    <mergeCell ref="F7:F8"/>
    <mergeCell ref="G5:G6"/>
    <mergeCell ref="H5:H6"/>
    <mergeCell ref="E5:F6"/>
    <mergeCell ref="A5:A6"/>
    <mergeCell ref="B5:B6"/>
    <mergeCell ref="C5:C6"/>
    <mergeCell ref="D5:D6"/>
  </mergeCells>
  <phoneticPr fontId="12" type="noConversion"/>
  <printOptions horizontalCentered="1"/>
  <pageMargins left="0.19685039370078741" right="0.19685039370078741" top="0.19685039370078741" bottom="0.19685039370078741" header="0.51181102362204722" footer="0.51181102362204722"/>
  <pageSetup paperSize="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indexed="10"/>
  </sheetPr>
  <dimension ref="A1:X54"/>
  <sheetViews>
    <sheetView workbookViewId="0">
      <selection activeCell="H22" sqref="H22:H23"/>
    </sheetView>
  </sheetViews>
  <sheetFormatPr defaultRowHeight="12.75"/>
  <cols>
    <col min="1" max="1" width="8" customWidth="1"/>
    <col min="2" max="2" width="7.5703125" customWidth="1"/>
    <col min="3" max="3" width="21.28515625" customWidth="1"/>
    <col min="4" max="4" width="12.28515625" customWidth="1"/>
    <col min="5" max="5" width="7.7109375" customWidth="1"/>
    <col min="6" max="6" width="20.140625" customWidth="1"/>
    <col min="7" max="7" width="0.140625" customWidth="1"/>
    <col min="8" max="8" width="21.28515625" customWidth="1"/>
    <col min="10" max="18" width="0" hidden="1" customWidth="1"/>
  </cols>
  <sheetData>
    <row r="1" spans="1:24" ht="19.5" customHeight="1" thickBot="1">
      <c r="A1" s="381" t="s">
        <v>23</v>
      </c>
      <c r="B1" s="381"/>
      <c r="C1" s="381"/>
      <c r="D1" s="381"/>
      <c r="E1" s="381"/>
      <c r="F1" s="381"/>
      <c r="G1" s="381"/>
      <c r="H1" s="381"/>
    </row>
    <row r="2" spans="1:24" ht="25.5" customHeight="1" thickBot="1">
      <c r="B2" s="205" t="s">
        <v>25</v>
      </c>
      <c r="C2" s="205"/>
      <c r="D2" s="390" t="str">
        <f>HYPERLINK([1]реквизиты!$A$2)</f>
        <v>Чемпионат России по САМБО среди женщин</v>
      </c>
      <c r="E2" s="391"/>
      <c r="F2" s="391"/>
      <c r="G2" s="391"/>
      <c r="H2" s="392"/>
    </row>
    <row r="3" spans="1:24" ht="24.75" customHeight="1" thickBot="1">
      <c r="B3" s="393" t="str">
        <f>пр.взв.!A3</f>
        <v>4-8  марта  2016 г.  г. Химки</v>
      </c>
      <c r="C3" s="393"/>
      <c r="D3" s="393"/>
      <c r="E3" s="393"/>
      <c r="F3" s="393"/>
      <c r="G3" s="393"/>
      <c r="H3" s="87" t="str">
        <f>пр.взв.!D4</f>
        <v>в.к. 68  кг.</v>
      </c>
    </row>
    <row r="4" spans="1:24" ht="12.75" customHeight="1" thickBot="1">
      <c r="A4" s="362" t="s">
        <v>49</v>
      </c>
      <c r="B4" s="364" t="s">
        <v>4</v>
      </c>
      <c r="C4" s="366" t="s">
        <v>5</v>
      </c>
      <c r="D4" s="307" t="s">
        <v>6</v>
      </c>
      <c r="E4" s="306" t="s">
        <v>7</v>
      </c>
      <c r="F4" s="307"/>
      <c r="G4" s="387" t="s">
        <v>10</v>
      </c>
      <c r="H4" s="384" t="s">
        <v>8</v>
      </c>
      <c r="J4" s="406" t="str">
        <f>MID(F6,FIND(,F6),3)</f>
        <v>Пер</v>
      </c>
      <c r="K4" s="398">
        <v>1</v>
      </c>
      <c r="L4" s="407" t="s">
        <v>57</v>
      </c>
      <c r="M4" s="404" t="s">
        <v>58</v>
      </c>
      <c r="N4" s="399"/>
      <c r="O4" s="400"/>
      <c r="P4" s="400"/>
      <c r="Q4" s="401"/>
      <c r="S4" s="402" t="s">
        <v>57</v>
      </c>
      <c r="T4" s="404" t="s">
        <v>58</v>
      </c>
      <c r="U4" s="399"/>
      <c r="V4" s="400"/>
      <c r="W4" s="400"/>
      <c r="X4" s="401"/>
    </row>
    <row r="5" spans="1:24" ht="16.5" thickBot="1">
      <c r="A5" s="363"/>
      <c r="B5" s="365"/>
      <c r="C5" s="367"/>
      <c r="D5" s="309"/>
      <c r="E5" s="308"/>
      <c r="F5" s="309"/>
      <c r="G5" s="278"/>
      <c r="H5" s="385"/>
      <c r="J5" s="406"/>
      <c r="K5" s="398"/>
      <c r="L5" s="408"/>
      <c r="M5" s="405"/>
      <c r="N5" s="92">
        <v>1</v>
      </c>
      <c r="O5" s="93">
        <v>2</v>
      </c>
      <c r="P5" s="93">
        <v>3</v>
      </c>
      <c r="Q5" s="94">
        <v>5</v>
      </c>
      <c r="S5" s="403"/>
      <c r="T5" s="405"/>
      <c r="U5" s="92">
        <v>1</v>
      </c>
      <c r="V5" s="93">
        <v>2</v>
      </c>
      <c r="W5" s="93">
        <v>3</v>
      </c>
      <c r="X5" s="94">
        <v>5</v>
      </c>
    </row>
    <row r="6" spans="1:24" ht="12" customHeight="1">
      <c r="A6" s="368">
        <v>1</v>
      </c>
      <c r="B6" s="369">
        <f>пр.хода!H8</f>
        <v>14</v>
      </c>
      <c r="C6" s="355" t="str">
        <f>VLOOKUP(B6,пр.взв.!B7:H38,2,FALSE)</f>
        <v>Мохнаткина Марина Юрьевна</v>
      </c>
      <c r="D6" s="370" t="str">
        <f>VLOOKUP(B6,пр.взв.!B7:H131,3,FALSE)</f>
        <v>12.05.88 змс</v>
      </c>
      <c r="E6" s="395" t="str">
        <f>VLOOKUP(B6,пр.взв.!B7:H38,4,FALSE)</f>
        <v>ПФО</v>
      </c>
      <c r="F6" s="388" t="str">
        <f>VLOOKUP(B6,пр.взв.!B7:H38,5,FALSE)</f>
        <v>Пермский Пермь Д</v>
      </c>
      <c r="G6" s="394" t="str">
        <f>VLOOKUP(B6,пр.взв.!B7:H38,6,FALSE)</f>
        <v>000295</v>
      </c>
      <c r="H6" s="386" t="str">
        <f>VLOOKUP(B6,пр.взв.!B7:H133,7,FALSE)</f>
        <v>Газеев АГ</v>
      </c>
      <c r="J6" s="406" t="s">
        <v>59</v>
      </c>
      <c r="K6" s="398">
        <v>1</v>
      </c>
      <c r="L6" s="95">
        <v>1</v>
      </c>
      <c r="M6" s="96" t="s">
        <v>60</v>
      </c>
      <c r="N6" s="97">
        <f>SUMIF($J$4:$J$7,"Алт",$K$4:$K$7)</f>
        <v>0</v>
      </c>
      <c r="O6" s="97">
        <f ca="1">SUMIF($I$8:$J$9,"алт",$K$6:$K$9)</f>
        <v>0</v>
      </c>
      <c r="P6" s="98">
        <f>SUMIF($J$10:$J$13,"Алт",$K$10:$K$13)</f>
        <v>0</v>
      </c>
      <c r="Q6" s="98">
        <f>SUMIF($J$14:$J$17,"Алт",$K$14:$K$17)</f>
        <v>0</v>
      </c>
      <c r="S6" s="95">
        <v>1</v>
      </c>
      <c r="T6" s="96" t="str">
        <f>J4</f>
        <v>Пер</v>
      </c>
      <c r="U6" s="97">
        <f t="shared" ref="U6:U11" si="0">SUMIF($J$4:$J$7,T6,$K$4:$K$7)</f>
        <v>1</v>
      </c>
      <c r="V6" s="97">
        <f t="shared" ref="V6:V11" ca="1" si="1">SUMIF($I$8:$J$9,T6,$K$6:$K$9)</f>
        <v>0</v>
      </c>
      <c r="W6" s="98">
        <f t="shared" ref="W6:W11" si="2">SUMIF($J$10:$J$13,T6,$K$10:$K$13)</f>
        <v>0</v>
      </c>
      <c r="X6" s="98">
        <f t="shared" ref="X6:X11" si="3">SUMIF($J$14:$J$17,T6,$K$14:$K$17)</f>
        <v>0</v>
      </c>
    </row>
    <row r="7" spans="1:24" ht="12" customHeight="1">
      <c r="A7" s="359"/>
      <c r="B7" s="360"/>
      <c r="C7" s="356"/>
      <c r="D7" s="370"/>
      <c r="E7" s="350"/>
      <c r="F7" s="202"/>
      <c r="G7" s="394"/>
      <c r="H7" s="386"/>
      <c r="J7" s="398"/>
      <c r="K7" s="398"/>
      <c r="L7" s="99">
        <v>2</v>
      </c>
      <c r="M7" s="96" t="s">
        <v>61</v>
      </c>
      <c r="N7" s="97">
        <f>SUMIF($J$4:$J$7,"заб",$K$4:$K$7)</f>
        <v>0</v>
      </c>
      <c r="O7" s="97">
        <f ca="1">SUMIF($I$8:$J$9,"заб",$K$6:$K$9)</f>
        <v>0</v>
      </c>
      <c r="P7" s="98">
        <f>SUMIF($J$10:$J$13,"заб",$K$10:$K$13)</f>
        <v>0</v>
      </c>
      <c r="Q7" s="98">
        <f>SUMIF($J$14:$J$17,"заб",$K$14:$K$17)</f>
        <v>0</v>
      </c>
      <c r="S7" s="99">
        <v>2</v>
      </c>
      <c r="T7" s="96" t="str">
        <f>IF(J8=J4," ",J8)</f>
        <v>РСО</v>
      </c>
      <c r="U7" s="97">
        <f t="shared" si="0"/>
        <v>0</v>
      </c>
      <c r="V7" s="97">
        <f t="shared" ca="1" si="1"/>
        <v>1</v>
      </c>
      <c r="W7" s="98">
        <f t="shared" si="2"/>
        <v>0</v>
      </c>
      <c r="X7" s="98">
        <f t="shared" si="3"/>
        <v>0</v>
      </c>
    </row>
    <row r="8" spans="1:24" ht="12" customHeight="1">
      <c r="A8" s="359">
        <v>2</v>
      </c>
      <c r="B8" s="360">
        <f>пр.хода!H20</f>
        <v>11</v>
      </c>
      <c r="C8" s="355" t="str">
        <f>VLOOKUP(B8,пр.взв.!B1:H40,2,FALSE)</f>
        <v>ГУРЦИЕВА Маргарита Касполатовна</v>
      </c>
      <c r="D8" s="357" t="str">
        <f>VLOOKUP(B8,пр.взв.!B1:H133,3,FALSE)</f>
        <v>15.04.88 мсмк</v>
      </c>
      <c r="E8" s="349" t="str">
        <f>VLOOKUP(B8,пр.взв.!B1:H40,4,FALSE)</f>
        <v>СКФО</v>
      </c>
      <c r="F8" s="372" t="str">
        <f>VLOOKUP(B8,пр.взв.!B1:H40,5,FALSE)</f>
        <v>РСО-Алания, Владикавказ Д</v>
      </c>
      <c r="G8" s="373">
        <f>VLOOKUP(B8,пр.взв.!B1:H40,6,FALSE)</f>
        <v>0</v>
      </c>
      <c r="H8" s="382" t="str">
        <f>VLOOKUP(B8,пр.взв.!B1:H135,7,FALSE)</f>
        <v>Лолаев Т.Г.</v>
      </c>
      <c r="J8" s="398" t="str">
        <f>MID(F8,FIND(,F8),3)</f>
        <v>РСО</v>
      </c>
      <c r="K8" s="398">
        <v>1</v>
      </c>
      <c r="L8" s="100">
        <v>3</v>
      </c>
      <c r="M8" s="96" t="s">
        <v>62</v>
      </c>
      <c r="N8" s="97">
        <f>SUMIF($J$4:$J$7,"ирк",$K$4:$K$7)</f>
        <v>0</v>
      </c>
      <c r="O8" s="97">
        <f ca="1">SUMIF($I$8:$J$9,"ирк",$K$6:$K$9)</f>
        <v>0</v>
      </c>
      <c r="P8" s="98">
        <f>SUMIF($J$10:$J$13,"ирк",$K$10:$K$13)</f>
        <v>0</v>
      </c>
      <c r="Q8" s="98">
        <f>SUMIF($J$14:$J$17,"ирк",$K$14:$K$17)</f>
        <v>0</v>
      </c>
      <c r="S8" s="100">
        <v>3</v>
      </c>
      <c r="T8" s="96" t="str">
        <f>IF(OR(J10=J4,J10=J8)," ",J10)</f>
        <v>Сам</v>
      </c>
      <c r="U8" s="97">
        <f t="shared" si="0"/>
        <v>0</v>
      </c>
      <c r="V8" s="97">
        <f t="shared" ca="1" si="1"/>
        <v>0</v>
      </c>
      <c r="W8" s="98">
        <f t="shared" si="2"/>
        <v>1</v>
      </c>
      <c r="X8" s="98">
        <f t="shared" si="3"/>
        <v>0</v>
      </c>
    </row>
    <row r="9" spans="1:24" ht="12" customHeight="1">
      <c r="A9" s="359"/>
      <c r="B9" s="360"/>
      <c r="C9" s="356"/>
      <c r="D9" s="358"/>
      <c r="E9" s="353"/>
      <c r="F9" s="372"/>
      <c r="G9" s="374"/>
      <c r="H9" s="383"/>
      <c r="J9" s="398"/>
      <c r="K9" s="398"/>
      <c r="L9" s="99">
        <v>4</v>
      </c>
      <c r="M9" s="96" t="s">
        <v>63</v>
      </c>
      <c r="N9" s="97">
        <f>SUMIF($J$4:$J$7,"кем",$K$4:$K$7)</f>
        <v>0</v>
      </c>
      <c r="O9" s="97">
        <f ca="1">SUMIF($I$8:$J$9,"кем",$K$6:$K$9)</f>
        <v>0</v>
      </c>
      <c r="P9" s="98">
        <f>SUMIF($J$10:$J$13,"кем",$K$10:$K$13)</f>
        <v>0</v>
      </c>
      <c r="Q9" s="98">
        <f>SUMIF($J$14:$J$17,"кем",$K$14:$K$17)</f>
        <v>0</v>
      </c>
      <c r="S9" s="99">
        <v>4</v>
      </c>
      <c r="T9" s="96" t="str">
        <f>IF(OR(J12=J4,J12=J8,J12=J10)," ",J12)</f>
        <v>Мос</v>
      </c>
      <c r="U9" s="97">
        <f t="shared" si="0"/>
        <v>0</v>
      </c>
      <c r="V9" s="97">
        <f t="shared" ca="1" si="1"/>
        <v>0</v>
      </c>
      <c r="W9" s="98">
        <f t="shared" si="2"/>
        <v>1</v>
      </c>
      <c r="X9" s="98">
        <f t="shared" si="3"/>
        <v>1</v>
      </c>
    </row>
    <row r="10" spans="1:24" ht="12" customHeight="1">
      <c r="A10" s="359">
        <v>3</v>
      </c>
      <c r="B10" s="360">
        <f>пр.хода!E32</f>
        <v>4</v>
      </c>
      <c r="C10" s="361" t="str">
        <f>VLOOKUP(B10,пр.взв.!B1:H42,2,FALSE)</f>
        <v>КРЮКОВА Ольга Владимировна</v>
      </c>
      <c r="D10" s="357" t="str">
        <f>VLOOKUP(B10,пр.взв.!B1:H135,3,FALSE)</f>
        <v>16.03.95 мс</v>
      </c>
      <c r="E10" s="349" t="str">
        <f>VLOOKUP(B10,пр.взв.!B1:H42,4,FALSE)</f>
        <v>ПФО</v>
      </c>
      <c r="F10" s="372" t="str">
        <f>VLOOKUP(B10,пр.взв.!B1:H42,5,FALSE)</f>
        <v xml:space="preserve">Самарская, Самара  </v>
      </c>
      <c r="G10" s="373">
        <f>VLOOKUP(B10,пр.взв.!B1:H42,6,FALSE)</f>
        <v>0</v>
      </c>
      <c r="H10" s="382" t="str">
        <f>VLOOKUP(B10,пр.взв.!B1:H137,7,FALSE)</f>
        <v>Сараева А.А.</v>
      </c>
      <c r="J10" s="398" t="str">
        <f>MID(F10,FIND(,F10),3)</f>
        <v>Сам</v>
      </c>
      <c r="K10" s="398">
        <v>1</v>
      </c>
      <c r="L10" s="100">
        <v>5</v>
      </c>
      <c r="M10" s="96" t="s">
        <v>64</v>
      </c>
      <c r="N10" s="97">
        <f>SUMIF($J$4:$J$7,"кра",$K$4:$K$7)</f>
        <v>0</v>
      </c>
      <c r="O10" s="97">
        <f ca="1">SUMIF($I$8:$J$9,"кра",$K$6:$K$9)</f>
        <v>0</v>
      </c>
      <c r="P10" s="98">
        <f>SUMIF($J$10:$J$13,"кра",$K$10:$K$13)</f>
        <v>0</v>
      </c>
      <c r="Q10" s="98">
        <f>SUMIF($J$14:$J$17,"кра",$K$14:$K$17)</f>
        <v>0</v>
      </c>
      <c r="S10" s="100">
        <v>5</v>
      </c>
      <c r="T10" s="96" t="str">
        <f>IF(OR(J14=J4,J14=J8,J14=J10,J14=J12)," ",J14)</f>
        <v>С.П</v>
      </c>
      <c r="U10" s="97">
        <f t="shared" si="0"/>
        <v>0</v>
      </c>
      <c r="V10" s="97">
        <f t="shared" ca="1" si="1"/>
        <v>0</v>
      </c>
      <c r="W10" s="98">
        <f t="shared" si="2"/>
        <v>0</v>
      </c>
      <c r="X10" s="98">
        <f t="shared" si="3"/>
        <v>1</v>
      </c>
    </row>
    <row r="11" spans="1:24" ht="12" customHeight="1">
      <c r="A11" s="359"/>
      <c r="B11" s="360"/>
      <c r="C11" s="356"/>
      <c r="D11" s="358"/>
      <c r="E11" s="353"/>
      <c r="F11" s="372"/>
      <c r="G11" s="374"/>
      <c r="H11" s="383"/>
      <c r="J11" s="398"/>
      <c r="K11" s="398"/>
      <c r="L11" s="99">
        <v>6</v>
      </c>
      <c r="M11" s="96" t="s">
        <v>65</v>
      </c>
      <c r="N11" s="97">
        <f>SUMIF($J$4:$J$7,"нов",$K$4:$K$7)</f>
        <v>0</v>
      </c>
      <c r="O11" s="97">
        <f ca="1">SUMIF($I$8:$J$9,"нов",$K$6:$K$9)</f>
        <v>0</v>
      </c>
      <c r="P11" s="98">
        <f>SUMIF($J$10:$J$13,"нов",$K$10:$K$13)</f>
        <v>0</v>
      </c>
      <c r="Q11" s="98">
        <f>SUMIF($J$14:$J$17,"нов",$K$14:$K$17)</f>
        <v>0</v>
      </c>
      <c r="S11" s="99">
        <v>6</v>
      </c>
      <c r="T11" s="96" t="str">
        <f>IF(OR(J16=J4,J16=J8,J16=J10,J16=J12,J16=J14)," ",J16)</f>
        <v xml:space="preserve"> </v>
      </c>
      <c r="U11" s="97">
        <f t="shared" si="0"/>
        <v>0</v>
      </c>
      <c r="V11" s="97">
        <f t="shared" ca="1" si="1"/>
        <v>0</v>
      </c>
      <c r="W11" s="98">
        <f t="shared" si="2"/>
        <v>0</v>
      </c>
      <c r="X11" s="98">
        <f t="shared" si="3"/>
        <v>0</v>
      </c>
    </row>
    <row r="12" spans="1:24" ht="12" customHeight="1">
      <c r="A12" s="359">
        <v>3</v>
      </c>
      <c r="B12" s="360">
        <f>пр.хода!Q32</f>
        <v>12</v>
      </c>
      <c r="C12" s="355" t="str">
        <f>VLOOKUP(B12,пр.взв.!B1:H44,2,FALSE)</f>
        <v xml:space="preserve"> Кабанова Екатерина Александровна</v>
      </c>
      <c r="D12" s="357" t="str">
        <f>VLOOKUP(B12,пр.взв.!B1:H137,3,FALSE)</f>
        <v xml:space="preserve"> 13.01.91 мс</v>
      </c>
      <c r="E12" s="349" t="str">
        <f>VLOOKUP(B12,пр.взв.!B1:H44,4,FALSE)</f>
        <v>МОС</v>
      </c>
      <c r="F12" s="372" t="str">
        <f>VLOOKUP(B12,пр.взв.!B1:H44,5,FALSE)</f>
        <v>Москва МКС</v>
      </c>
      <c r="G12" s="373">
        <f>VLOOKUP(B12,пр.взв.!B1:H44,6,FALSE)</f>
        <v>0</v>
      </c>
      <c r="H12" s="382" t="str">
        <f>VLOOKUP(B12,пр.взв.!B1:H139,7,FALSE)</f>
        <v>Кабанов Д.Б., Фунтиков П.В.</v>
      </c>
      <c r="J12" s="398" t="str">
        <f>MID(F12,FIND(,F12),3)</f>
        <v>Мос</v>
      </c>
      <c r="K12" s="398">
        <v>1</v>
      </c>
      <c r="L12" s="100">
        <v>7</v>
      </c>
      <c r="M12" s="96" t="s">
        <v>66</v>
      </c>
      <c r="N12" s="97">
        <f>SUMIF($J$4:$J$7,"омс",$K$4:$K$7)</f>
        <v>0</v>
      </c>
      <c r="O12" s="97">
        <f ca="1">SUMIF($I$8:$J$9,"омс",$K$6:$K$9)</f>
        <v>0</v>
      </c>
      <c r="P12" s="98">
        <f>SUMIF($J$10:$J$13,"омс",$K$10:$K$13)</f>
        <v>0</v>
      </c>
      <c r="Q12" s="98">
        <f>SUMIF($J$14:$J$17,"омс",$K$14:$K$17)</f>
        <v>0</v>
      </c>
      <c r="S12" s="101"/>
      <c r="T12" s="96" t="str">
        <f>IF(OR(J15=J7,J15=J11,J15=J13)," ",J15)</f>
        <v xml:space="preserve"> </v>
      </c>
      <c r="U12" s="102"/>
      <c r="V12" s="102"/>
      <c r="W12" s="103"/>
      <c r="X12" s="103"/>
    </row>
    <row r="13" spans="1:24" ht="12" customHeight="1">
      <c r="A13" s="359"/>
      <c r="B13" s="360"/>
      <c r="C13" s="356"/>
      <c r="D13" s="358"/>
      <c r="E13" s="353"/>
      <c r="F13" s="372"/>
      <c r="G13" s="374"/>
      <c r="H13" s="383"/>
      <c r="J13" s="398"/>
      <c r="K13" s="398"/>
      <c r="L13" s="99">
        <v>8</v>
      </c>
      <c r="M13" s="96" t="s">
        <v>67</v>
      </c>
      <c r="N13" s="97">
        <f>SUMIF($J$4:$J$7,"р.а",$K$4:$K$7)</f>
        <v>0</v>
      </c>
      <c r="O13" s="97">
        <f ca="1">SUMIF($I$8:$J$9,"р.а",$K$6:$K$9)</f>
        <v>0</v>
      </c>
      <c r="P13" s="98">
        <f>SUMIF($J$10:$J$13,"р.а",$K$10:$K$13)</f>
        <v>0</v>
      </c>
      <c r="Q13" s="98">
        <f>SUMIF($J$14:$J$17,"р.а",$K$14:$K$17)</f>
        <v>0</v>
      </c>
      <c r="S13" s="104"/>
      <c r="T13" s="111" t="str">
        <f>IF(OR(J16=J8,J16=J12,J16=J14)," ",J16)</f>
        <v xml:space="preserve"> </v>
      </c>
      <c r="U13" s="102"/>
      <c r="V13" s="102"/>
      <c r="W13" s="103"/>
      <c r="X13" s="103"/>
    </row>
    <row r="14" spans="1:24" ht="12" customHeight="1">
      <c r="A14" s="371" t="s">
        <v>153</v>
      </c>
      <c r="B14" s="360">
        <f>пр.хода!AA25</f>
        <v>7</v>
      </c>
      <c r="C14" s="355" t="str">
        <f>VLOOKUP(B14,пр.взв.!B1:H46,2,FALSE)</f>
        <v>Лугова Маргарита Витальевна</v>
      </c>
      <c r="D14" s="357" t="str">
        <f>VLOOKUP(B14,пр.взв.!B1:H139,3,FALSE)</f>
        <v>23.06.92 мс</v>
      </c>
      <c r="E14" s="349" t="str">
        <f>VLOOKUP(B14,пр.взв.!B1:H46,4,FALSE)</f>
        <v>СПБ</v>
      </c>
      <c r="F14" s="372" t="str">
        <f>VLOOKUP(B14,пр.взв.!B1:H46,5,FALSE)</f>
        <v xml:space="preserve">С.Петербург </v>
      </c>
      <c r="G14" s="373">
        <f>VLOOKUP(B14,пр.взв.!B1:H46,6,FALSE)</f>
        <v>0</v>
      </c>
      <c r="H14" s="382" t="str">
        <f>VLOOKUP(B14,пр.взв.!B1:H141,7,FALSE)</f>
        <v>Архипов АВ</v>
      </c>
      <c r="J14" s="398" t="str">
        <f>MID(F14,FIND(,F14),3)</f>
        <v>С.П</v>
      </c>
      <c r="K14" s="398">
        <v>1</v>
      </c>
      <c r="L14" s="100">
        <v>9</v>
      </c>
      <c r="M14" s="96" t="s">
        <v>68</v>
      </c>
      <c r="N14" s="97">
        <f>SUMIF($J$4:$J$7,"р.б",$K$4:$K$7)</f>
        <v>0</v>
      </c>
      <c r="O14" s="97">
        <f ca="1">SUMIF($I$8:$J$9,"р.б",$K$6:$K$9)</f>
        <v>0</v>
      </c>
      <c r="P14" s="98">
        <f>SUMIF($J$10:$J$13,"р.б",$K$10:$K$13)</f>
        <v>0</v>
      </c>
      <c r="Q14" s="98">
        <f>SUMIF($J$14:$J$17,"р.б",$K$14:$K$17)</f>
        <v>0</v>
      </c>
      <c r="S14" s="101"/>
      <c r="T14" s="105"/>
      <c r="U14" s="102"/>
      <c r="V14" s="102"/>
      <c r="W14" s="103"/>
      <c r="X14" s="103"/>
    </row>
    <row r="15" spans="1:24" ht="12" customHeight="1">
      <c r="A15" s="371"/>
      <c r="B15" s="360"/>
      <c r="C15" s="356"/>
      <c r="D15" s="358"/>
      <c r="E15" s="353"/>
      <c r="F15" s="372"/>
      <c r="G15" s="374"/>
      <c r="H15" s="383"/>
      <c r="J15" s="398"/>
      <c r="K15" s="398"/>
      <c r="L15" s="99">
        <v>10</v>
      </c>
      <c r="M15" s="96" t="s">
        <v>69</v>
      </c>
      <c r="N15" s="97">
        <f>SUMIF($J$4:$J$7,"р.х",$K$4:$K$7)</f>
        <v>0</v>
      </c>
      <c r="O15" s="97">
        <f ca="1">SUMIF($I$8:$J$9,"р.х",$K$6:$K$9)</f>
        <v>0</v>
      </c>
      <c r="P15" s="98">
        <f>SUMIF($J$10:$J$13,"р.х",$K$10:$K$13)</f>
        <v>0</v>
      </c>
      <c r="Q15" s="98">
        <f>SUMIF($J$14:$J$17,"р.х",$K$14:$K$17)</f>
        <v>0</v>
      </c>
      <c r="S15" s="104"/>
      <c r="T15" s="105"/>
      <c r="U15" s="102"/>
      <c r="V15" s="102"/>
      <c r="W15" s="103"/>
      <c r="X15" s="103"/>
    </row>
    <row r="16" spans="1:24" ht="12" customHeight="1">
      <c r="A16" s="371" t="s">
        <v>153</v>
      </c>
      <c r="B16" s="360">
        <f>пр.хода!AA26</f>
        <v>13</v>
      </c>
      <c r="C16" s="355" t="str">
        <f>VLOOKUP(B16,пр.взв.!B1:H48,2,FALSE)</f>
        <v xml:space="preserve">Станкевич Виктория Владимировна </v>
      </c>
      <c r="D16" s="357" t="str">
        <f>VLOOKUP(B16,пр.взв.!B1:H141,3,FALSE)</f>
        <v>12.11.90 мс</v>
      </c>
      <c r="E16" s="349" t="str">
        <f>VLOOKUP(B16,пр.взв.!B1:H48,4,FALSE)</f>
        <v>МОС</v>
      </c>
      <c r="F16" s="372" t="str">
        <f>VLOOKUP(B16,пр.взв.!B1:H48,5,FALSE)</f>
        <v>Москва</v>
      </c>
      <c r="G16" s="373">
        <f>VLOOKUP(B16,пр.взв.!B1:H48,6,FALSE)</f>
        <v>0</v>
      </c>
      <c r="H16" s="382" t="str">
        <f>VLOOKUP(B16,пр.взв.!B1:H143,7,FALSE)</f>
        <v>Дмитриева ОВ, Цуварев МВ</v>
      </c>
      <c r="J16" s="398" t="str">
        <f>MID(F16,FIND(,F16),3)</f>
        <v>Мос</v>
      </c>
      <c r="K16" s="398">
        <v>1</v>
      </c>
      <c r="L16" s="100">
        <v>11</v>
      </c>
      <c r="M16" s="106" t="s">
        <v>70</v>
      </c>
      <c r="N16" s="97">
        <f>SUMIF($J$4:$J$7,"том",$K$4:$K$7)</f>
        <v>0</v>
      </c>
      <c r="O16" s="97">
        <f ca="1">SUMIF($I$8:$J$9,"том",$K$6:$K$9)</f>
        <v>0</v>
      </c>
      <c r="P16" s="98">
        <f>SUMIF($J$10:$J$13,"том",$K$10:$K$13)</f>
        <v>0</v>
      </c>
      <c r="Q16" s="98">
        <f>SUMIF($J$14:$J$17,"том",$K$14:$K$17)</f>
        <v>0</v>
      </c>
      <c r="S16" s="101"/>
      <c r="T16" s="107"/>
      <c r="U16" s="102"/>
      <c r="V16" s="102"/>
      <c r="W16" s="103"/>
      <c r="X16" s="103"/>
    </row>
    <row r="17" spans="1:24" ht="12" customHeight="1" thickBot="1">
      <c r="A17" s="371"/>
      <c r="B17" s="360"/>
      <c r="C17" s="356"/>
      <c r="D17" s="358"/>
      <c r="E17" s="353"/>
      <c r="F17" s="372"/>
      <c r="G17" s="374"/>
      <c r="H17" s="383"/>
      <c r="J17" s="398"/>
      <c r="K17" s="398"/>
      <c r="L17" s="99">
        <v>12</v>
      </c>
      <c r="M17" s="106" t="s">
        <v>71</v>
      </c>
      <c r="N17" s="97">
        <f>SUMIF($J$4:$J$7,"",$K$4:$K$7)</f>
        <v>0</v>
      </c>
      <c r="O17" s="97">
        <f ca="1">SUMIF($I$8:$J$9,"т",$K$6:$K$9)</f>
        <v>0</v>
      </c>
      <c r="P17" s="98">
        <f>SUMIF($J$10:$J$13,"",$K$10:$K$13)</f>
        <v>0</v>
      </c>
      <c r="Q17" s="98">
        <f>SUMIF($J$14:$J$17,"",$K$14:$K$17)</f>
        <v>0</v>
      </c>
      <c r="S17" s="104"/>
      <c r="T17" s="107"/>
      <c r="U17" s="102"/>
      <c r="V17" s="102"/>
      <c r="W17" s="103"/>
      <c r="X17" s="103"/>
    </row>
    <row r="18" spans="1:24" ht="12" customHeight="1" thickBot="1">
      <c r="A18" s="371" t="s">
        <v>48</v>
      </c>
      <c r="B18" s="360">
        <f>пр.хода!AA27</f>
        <v>5</v>
      </c>
      <c r="C18" s="355" t="str">
        <f>VLOOKUP(B18,пр.взв.!B1:H50,2,FALSE)</f>
        <v>Власова Александра Игоревна</v>
      </c>
      <c r="D18" s="357" t="str">
        <f>VLOOKUP(B18,пр.взв.!B1:H143,3,FALSE)</f>
        <v>15.05.96 кмс</v>
      </c>
      <c r="E18" s="349" t="str">
        <f>VLOOKUP(B18,пр.взв.!B1:H50,4,FALSE)</f>
        <v>ПФО</v>
      </c>
      <c r="F18" s="372" t="str">
        <f>VLOOKUP(B18,пр.взв.!B1:H50,5,FALSE)</f>
        <v>Саратовская, Саратов</v>
      </c>
      <c r="G18" s="373">
        <f>VLOOKUP(B18,пр.взв.!B1:H50,6,FALSE)</f>
        <v>0</v>
      </c>
      <c r="H18" s="382" t="str">
        <f>VLOOKUP(B18,пр.взв.!B1:H145,7,FALSE)</f>
        <v>Сергиенко ДН, Мельникова ЕН</v>
      </c>
      <c r="L18" s="108"/>
      <c r="M18" s="109"/>
      <c r="N18" s="110">
        <f>SUM(N6:N17)</f>
        <v>0</v>
      </c>
      <c r="O18" s="110">
        <f ca="1">SUM(O6:O17)</f>
        <v>0</v>
      </c>
      <c r="P18" s="110">
        <f>SUM(P6:P17)</f>
        <v>0</v>
      </c>
      <c r="Q18" s="110">
        <f>SUM(Q6:Q17)</f>
        <v>0</v>
      </c>
      <c r="S18" s="108"/>
      <c r="T18" s="109"/>
      <c r="U18" s="110">
        <f>SUM(U6:U17)</f>
        <v>1</v>
      </c>
      <c r="V18" s="110">
        <f ca="1">SUM(V6:V17)</f>
        <v>1</v>
      </c>
      <c r="W18" s="110">
        <f>SUM(W6:W17)</f>
        <v>2</v>
      </c>
      <c r="X18" s="110">
        <f>SUM(X6:X17)</f>
        <v>2</v>
      </c>
    </row>
    <row r="19" spans="1:24" ht="12" customHeight="1">
      <c r="A19" s="371"/>
      <c r="B19" s="360"/>
      <c r="C19" s="356"/>
      <c r="D19" s="358"/>
      <c r="E19" s="353"/>
      <c r="F19" s="372"/>
      <c r="G19" s="374"/>
      <c r="H19" s="383"/>
    </row>
    <row r="20" spans="1:24" ht="12" customHeight="1">
      <c r="A20" s="371" t="s">
        <v>48</v>
      </c>
      <c r="B20" s="360">
        <f>пр.хода!AA28</f>
        <v>10</v>
      </c>
      <c r="C20" s="355" t="str">
        <f>VLOOKUP(B20,пр.взв.!B2:H52,2,FALSE)</f>
        <v>Вереденко Дарья Андреевна</v>
      </c>
      <c r="D20" s="357" t="str">
        <f>VLOOKUP(B20,пр.взв.!B2:H145,3,FALSE)</f>
        <v>12.06.95 мс</v>
      </c>
      <c r="E20" s="349" t="str">
        <f>VLOOKUP(B20,пр.взв.!B2:H52,4,FALSE)</f>
        <v>ДФО</v>
      </c>
      <c r="F20" s="372" t="str">
        <f>VLOOKUP(B20,пр.взв.!B2:H52,5,FALSE)</f>
        <v>Приморский</v>
      </c>
      <c r="G20" s="373">
        <f>VLOOKUP(B20,пр.взв.!B2:H52,6,FALSE)</f>
        <v>0</v>
      </c>
      <c r="H20" s="382" t="str">
        <f>VLOOKUP(B20,пр.взв.!B2:H147,7,FALSE)</f>
        <v>Леонтьев ЮА Фалеева ОА</v>
      </c>
      <c r="I20" s="86" t="s">
        <v>154</v>
      </c>
    </row>
    <row r="21" spans="1:24" ht="12" customHeight="1">
      <c r="A21" s="371"/>
      <c r="B21" s="360"/>
      <c r="C21" s="356"/>
      <c r="D21" s="358"/>
      <c r="E21" s="353"/>
      <c r="F21" s="372"/>
      <c r="G21" s="374"/>
      <c r="H21" s="383"/>
    </row>
    <row r="22" spans="1:24" ht="12" customHeight="1">
      <c r="A22" s="371" t="s">
        <v>55</v>
      </c>
      <c r="B22" s="360">
        <f>пр.хода!Z25</f>
        <v>9</v>
      </c>
      <c r="C22" s="355" t="str">
        <f>VLOOKUP(B22,пр.взв.!B2:H54,2,FALSE)</f>
        <v>Осинцева Илона Сергеевна</v>
      </c>
      <c r="D22" s="357" t="str">
        <f>VLOOKUP(B22,пр.взв.!B2:H147,3,FALSE)</f>
        <v>12.03.95 мс</v>
      </c>
      <c r="E22" s="349" t="str">
        <f>VLOOKUP(B22,пр.взв.!B2:H54,4,FALSE)</f>
        <v>УФО</v>
      </c>
      <c r="F22" s="372" t="str">
        <f>VLOOKUP(B22,пр.взв.!B2:H54,5,FALSE)</f>
        <v>Курганская, Шадринск</v>
      </c>
      <c r="G22" s="373">
        <f>VLOOKUP(B22,пр.взв.!B2:H54,6,FALSE)</f>
        <v>0</v>
      </c>
      <c r="H22" s="382" t="str">
        <f>VLOOKUP(B22,пр.взв.!B2:H149,7,FALSE)</f>
        <v>Старцев АА, Жавкин ЭБ</v>
      </c>
    </row>
    <row r="23" spans="1:24" ht="12" customHeight="1">
      <c r="A23" s="371"/>
      <c r="B23" s="360"/>
      <c r="C23" s="356"/>
      <c r="D23" s="358"/>
      <c r="E23" s="353"/>
      <c r="F23" s="372"/>
      <c r="G23" s="374"/>
      <c r="H23" s="383"/>
    </row>
    <row r="24" spans="1:24" ht="12" customHeight="1">
      <c r="A24" s="371" t="s">
        <v>55</v>
      </c>
      <c r="B24" s="360">
        <f>пр.хода!Z26</f>
        <v>6</v>
      </c>
      <c r="C24" s="355" t="str">
        <f>VLOOKUP(B24,пр.взв.!B2:H56,2,FALSE)</f>
        <v>Чемерская Анна Владимировна</v>
      </c>
      <c r="D24" s="357" t="str">
        <f>VLOOKUP(B24,пр.взв.!B2:H149,3,FALSE)</f>
        <v>08.08.94 мс</v>
      </c>
      <c r="E24" s="349" t="str">
        <f>VLOOKUP(B24,пр.взв.!B2:H56,4,FALSE)</f>
        <v>СФО</v>
      </c>
      <c r="F24" s="372" t="str">
        <f>VLOOKUP(B24,пр.взв.!B2:H56,5,FALSE)</f>
        <v xml:space="preserve">Новосибирская Новосибирск  </v>
      </c>
      <c r="G24" s="373">
        <f>VLOOKUP(B24,пр.взв.!B2:H56,6,FALSE)</f>
        <v>0</v>
      </c>
      <c r="H24" s="382" t="str">
        <f>VLOOKUP(B24,пр.взв.!B2:H151,7,FALSE)</f>
        <v xml:space="preserve">Орлов А.А </v>
      </c>
    </row>
    <row r="25" spans="1:24" ht="12" customHeight="1">
      <c r="A25" s="371"/>
      <c r="B25" s="360"/>
      <c r="C25" s="356"/>
      <c r="D25" s="358"/>
      <c r="E25" s="353"/>
      <c r="F25" s="372"/>
      <c r="G25" s="374"/>
      <c r="H25" s="383"/>
    </row>
    <row r="26" spans="1:24" ht="12" customHeight="1">
      <c r="A26" s="371" t="s">
        <v>55</v>
      </c>
      <c r="B26" s="360">
        <f>пр.хода!Z27</f>
        <v>3</v>
      </c>
      <c r="C26" s="355" t="str">
        <f>VLOOKUP(B26,пр.взв.!B2:H58,2,FALSE)</f>
        <v>НАЗАРЕНКО Олеся Евгеньевна</v>
      </c>
      <c r="D26" s="357" t="str">
        <f>VLOOKUP(B26,пр.взв.!B2:H151,3,FALSE)</f>
        <v>21.03.76 мсмк</v>
      </c>
      <c r="E26" s="349" t="str">
        <f>VLOOKUP(B26,пр.взв.!B2:H58,4,FALSE)</f>
        <v>МОС</v>
      </c>
      <c r="F26" s="372" t="str">
        <f>VLOOKUP(B26,пр.взв.!B2:H58,5,FALSE)</f>
        <v xml:space="preserve">Москва С-70 Д </v>
      </c>
      <c r="G26" s="373" t="str">
        <f>VLOOKUP(B26,пр.взв.!B2:H58,6,FALSE)</f>
        <v>2908288664.</v>
      </c>
      <c r="H26" s="382" t="str">
        <f>VLOOKUP(B26,пр.взв.!B2:H153,7,FALSE)</f>
        <v>Мкртычан СЛ, Ходырев АН</v>
      </c>
    </row>
    <row r="27" spans="1:24" ht="12" customHeight="1">
      <c r="A27" s="371"/>
      <c r="B27" s="360"/>
      <c r="C27" s="356"/>
      <c r="D27" s="358"/>
      <c r="E27" s="353"/>
      <c r="F27" s="372"/>
      <c r="G27" s="374"/>
      <c r="H27" s="383"/>
    </row>
    <row r="28" spans="1:24" ht="12" customHeight="1">
      <c r="A28" s="371" t="s">
        <v>55</v>
      </c>
      <c r="B28" s="360">
        <f>пр.хода!Z28</f>
        <v>8</v>
      </c>
      <c r="C28" s="355" t="str">
        <f>VLOOKUP(B28,пр.взв.!B2:H60,2,FALSE)</f>
        <v>Петренко Наталья Андреевна</v>
      </c>
      <c r="D28" s="357" t="str">
        <f>VLOOKUP(B28,пр.взв.!B2:H153,3,FALSE)</f>
        <v>22.02.91 мс</v>
      </c>
      <c r="E28" s="349" t="str">
        <f>VLOOKUP(B28,пр.взв.!B2:H60,4,FALSE)</f>
        <v>ЮФО</v>
      </c>
      <c r="F28" s="372" t="str">
        <f>VLOOKUP(B28,пр.взв.!B2:H60,5,FALSE)</f>
        <v xml:space="preserve">Краснодарский, Лабинск  </v>
      </c>
      <c r="G28" s="373">
        <f>VLOOKUP(B28,пр.взв.!B2:H60,6,FALSE)</f>
        <v>18718023</v>
      </c>
      <c r="H28" s="382" t="str">
        <f>VLOOKUP(B28,пр.взв.!B2:H155,7,FALSE)</f>
        <v>Абрамян СА</v>
      </c>
    </row>
    <row r="29" spans="1:24" ht="12" customHeight="1">
      <c r="A29" s="371"/>
      <c r="B29" s="360"/>
      <c r="C29" s="356"/>
      <c r="D29" s="358"/>
      <c r="E29" s="353"/>
      <c r="F29" s="372"/>
      <c r="G29" s="374"/>
      <c r="H29" s="383"/>
    </row>
    <row r="30" spans="1:24" ht="12" customHeight="1">
      <c r="A30" s="371" t="s">
        <v>152</v>
      </c>
      <c r="B30" s="360">
        <f>пр.хода!Z29</f>
        <v>1</v>
      </c>
      <c r="C30" s="355" t="str">
        <f>VLOOKUP(B30,пр.взв.!B3:H62,2,FALSE)</f>
        <v>Куцар Яна Олеговна</v>
      </c>
      <c r="D30" s="357" t="str">
        <f>VLOOKUP(B30,пр.взв.!B3:H155,3,FALSE)</f>
        <v>29.05.96 кмс</v>
      </c>
      <c r="E30" s="349" t="str">
        <f>VLOOKUP(B30,пр.взв.!B3:H62,4,FALSE)</f>
        <v>ЦФО</v>
      </c>
      <c r="F30" s="372" t="str">
        <f>VLOOKUP(B30,пр.взв.!B3:H62,5,FALSE)</f>
        <v>Московская</v>
      </c>
      <c r="G30" s="373">
        <f>VLOOKUP(B30,пр.взв.!B3:H62,6,FALSE)</f>
        <v>0</v>
      </c>
      <c r="H30" s="382" t="str">
        <f>VLOOKUP(B30,пр.взв.!B3:H157,7,FALSE)</f>
        <v>Федунов А.И.</v>
      </c>
    </row>
    <row r="31" spans="1:24" ht="12" customHeight="1">
      <c r="A31" s="371"/>
      <c r="B31" s="360"/>
      <c r="C31" s="356"/>
      <c r="D31" s="358"/>
      <c r="E31" s="353"/>
      <c r="F31" s="372"/>
      <c r="G31" s="374"/>
      <c r="H31" s="383"/>
    </row>
    <row r="32" spans="1:24" ht="12" customHeight="1">
      <c r="A32" s="371" t="s">
        <v>152</v>
      </c>
      <c r="B32" s="360">
        <f>пр.хода!Z30</f>
        <v>2</v>
      </c>
      <c r="C32" s="355" t="str">
        <f>VLOOKUP(B32,пр.взв.!B3:H64,2,FALSE)</f>
        <v>Агеева Татьяна Андреевна</v>
      </c>
      <c r="D32" s="357" t="str">
        <f>VLOOKUP(B32,пр.взв.!B3:H157,3,FALSE)</f>
        <v>06.04.93 мс</v>
      </c>
      <c r="E32" s="349" t="str">
        <f>VLOOKUP(B32,пр.взв.!B3:H64,4,FALSE)</f>
        <v>МОС</v>
      </c>
      <c r="F32" s="372" t="str">
        <f>VLOOKUP(B32,пр.взв.!B3:H64,5,FALSE)</f>
        <v xml:space="preserve">Москва </v>
      </c>
      <c r="G32" s="373">
        <f>VLOOKUP(B32,пр.взв.!B3:H64,6,FALSE)</f>
        <v>0</v>
      </c>
      <c r="H32" s="382" t="str">
        <f>VLOOKUP(B32,пр.взв.!B3:H159,7,FALSE)</f>
        <v>Ходырев АН Некрасова АС</v>
      </c>
    </row>
    <row r="33" spans="1:8" ht="12" customHeight="1">
      <c r="A33" s="371"/>
      <c r="B33" s="360"/>
      <c r="C33" s="356"/>
      <c r="D33" s="358"/>
      <c r="E33" s="353"/>
      <c r="F33" s="372"/>
      <c r="G33" s="374"/>
      <c r="H33" s="383"/>
    </row>
    <row r="34" spans="1:8" hidden="1">
      <c r="A34" s="371" t="s">
        <v>56</v>
      </c>
      <c r="B34" s="360">
        <f>пр.хода!Z31</f>
        <v>15</v>
      </c>
      <c r="C34" s="355" t="e">
        <f>VLOOKUP(B34,пр.взв.!B3:H66,2,FALSE)</f>
        <v>#N/A</v>
      </c>
      <c r="D34" s="357" t="e">
        <f>VLOOKUP(B34,пр.взв.!B3:H159,3,FALSE)</f>
        <v>#N/A</v>
      </c>
      <c r="E34" s="349" t="e">
        <f>VLOOKUP(B34,пр.взв.!B3:H66,4,FALSE)</f>
        <v>#N/A</v>
      </c>
      <c r="F34" s="372" t="e">
        <f>VLOOKUP(B34,пр.взв.!B3:H66,5,FALSE)</f>
        <v>#N/A</v>
      </c>
      <c r="G34" s="373" t="e">
        <f>VLOOKUP(B34,пр.взв.!B3:H66,6,FALSE)</f>
        <v>#N/A</v>
      </c>
      <c r="H34" s="382" t="e">
        <f>VLOOKUP(B34,пр.взв.!B3:H161,7,FALSE)</f>
        <v>#N/A</v>
      </c>
    </row>
    <row r="35" spans="1:8" hidden="1">
      <c r="A35" s="371"/>
      <c r="B35" s="360"/>
      <c r="C35" s="356"/>
      <c r="D35" s="358"/>
      <c r="E35" s="353"/>
      <c r="F35" s="372"/>
      <c r="G35" s="374"/>
      <c r="H35" s="383"/>
    </row>
    <row r="36" spans="1:8" hidden="1">
      <c r="A36" s="371" t="s">
        <v>56</v>
      </c>
      <c r="B36" s="376">
        <f>пр.хода!Z32</f>
        <v>16</v>
      </c>
      <c r="C36" s="355" t="e">
        <f>VLOOKUP(B36,пр.взв.!B3:H68,2,FALSE)</f>
        <v>#N/A</v>
      </c>
      <c r="D36" s="357" t="e">
        <f>VLOOKUP(B36,пр.взв.!B3:H161,3,FALSE)</f>
        <v>#N/A</v>
      </c>
      <c r="E36" s="349" t="e">
        <f>VLOOKUP(B36,пр.взв.!B3:H68,4,FALSE)</f>
        <v>#N/A</v>
      </c>
      <c r="F36" s="372" t="e">
        <f>VLOOKUP(B36,пр.взв.!B3:H68,5,FALSE)</f>
        <v>#N/A</v>
      </c>
      <c r="G36" s="373" t="e">
        <f>VLOOKUP(B36,пр.взв.!B3:H68,6,FALSE)</f>
        <v>#N/A</v>
      </c>
      <c r="H36" s="382" t="e">
        <f>VLOOKUP(B36,пр.взв.!B3:H163,7,FALSE)</f>
        <v>#N/A</v>
      </c>
    </row>
    <row r="37" spans="1:8" ht="13.5" hidden="1" thickBot="1">
      <c r="A37" s="375"/>
      <c r="B37" s="377"/>
      <c r="C37" s="378"/>
      <c r="D37" s="379"/>
      <c r="E37" s="380"/>
      <c r="F37" s="396"/>
      <c r="G37" s="397"/>
      <c r="H37" s="389"/>
    </row>
    <row r="40" spans="1:8" ht="15">
      <c r="A40" s="62" t="str">
        <f>[1]реквизиты!$A$6</f>
        <v>Гл. судья, судья МК</v>
      </c>
      <c r="B40" s="63"/>
      <c r="C40" s="64"/>
      <c r="D40" s="66"/>
      <c r="E40" s="66"/>
      <c r="F40" s="66" t="str">
        <f>[2]реквизиты!$G$6</f>
        <v>Р.М. Бабоян</v>
      </c>
      <c r="G40" s="65"/>
      <c r="H40" t="str">
        <f>[2]реквизиты!$G$7</f>
        <v>/ г. Армавир /</v>
      </c>
    </row>
    <row r="41" spans="1:8" ht="15">
      <c r="A41" s="63"/>
      <c r="B41" s="63"/>
      <c r="C41" s="64"/>
      <c r="D41" s="66"/>
      <c r="E41" s="66"/>
      <c r="F41" s="66"/>
      <c r="G41" s="84"/>
    </row>
    <row r="42" spans="1:8" ht="15">
      <c r="A42" s="63"/>
      <c r="B42" s="63"/>
      <c r="C42" s="64"/>
      <c r="D42" s="66"/>
      <c r="E42" s="66"/>
      <c r="F42" s="66"/>
      <c r="G42" s="66"/>
    </row>
    <row r="43" spans="1:8" ht="15">
      <c r="A43" s="62" t="str">
        <f>пр.хода!A40</f>
        <v>Гл. секретарь, судья МК</v>
      </c>
      <c r="B43" s="63"/>
      <c r="C43" s="64"/>
      <c r="D43" s="66"/>
      <c r="E43" s="66"/>
      <c r="F43" s="66" t="str">
        <f>[2]реквизиты!$G$8</f>
        <v>Р.М. Закиров</v>
      </c>
      <c r="G43" s="85"/>
      <c r="H43" t="str">
        <f>[2]реквизиты!$G$9</f>
        <v>/  г. Пермь /</v>
      </c>
    </row>
    <row r="44" spans="1:8" ht="15">
      <c r="A44" s="63"/>
      <c r="B44" s="63"/>
      <c r="C44" s="63"/>
      <c r="D44" s="66"/>
      <c r="E44" s="66"/>
      <c r="F44" s="66"/>
      <c r="G44" s="84"/>
      <c r="H44" s="5"/>
    </row>
    <row r="45" spans="1:8">
      <c r="D45" s="4"/>
      <c r="E45" s="4"/>
      <c r="F45" s="4"/>
      <c r="G45" s="4"/>
    </row>
    <row r="46" spans="1:8">
      <c r="D46" s="4"/>
      <c r="E46" s="4"/>
      <c r="F46" s="4"/>
      <c r="G46" s="4"/>
    </row>
    <row r="47" spans="1:8">
      <c r="D47" s="4"/>
      <c r="E47" s="4"/>
      <c r="F47" s="4"/>
      <c r="G47" s="4"/>
    </row>
    <row r="48" spans="1:8">
      <c r="D48" s="4"/>
      <c r="E48" s="4"/>
      <c r="F48" s="4"/>
      <c r="G48" s="4"/>
    </row>
    <row r="49" spans="4:7">
      <c r="D49" s="4"/>
      <c r="E49" s="4"/>
      <c r="F49" s="4"/>
      <c r="G49" s="4"/>
    </row>
    <row r="50" spans="4:7">
      <c r="D50" s="4"/>
      <c r="E50" s="4"/>
      <c r="F50" s="4"/>
      <c r="G50" s="4"/>
    </row>
    <row r="51" spans="4:7">
      <c r="D51" s="4"/>
      <c r="E51" s="4"/>
      <c r="F51" s="4"/>
      <c r="G51" s="4"/>
    </row>
    <row r="52" spans="4:7">
      <c r="D52" s="4"/>
      <c r="E52" s="4"/>
      <c r="F52" s="4"/>
      <c r="G52" s="4"/>
    </row>
    <row r="53" spans="4:7">
      <c r="D53" s="4"/>
      <c r="E53" s="4"/>
      <c r="F53" s="4"/>
      <c r="G53" s="4"/>
    </row>
    <row r="54" spans="4:7">
      <c r="D54" s="4"/>
      <c r="E54" s="4"/>
      <c r="F54" s="4"/>
      <c r="G54" s="4"/>
    </row>
  </sheetData>
  <mergeCells count="159">
    <mergeCell ref="J16:J17"/>
    <mergeCell ref="K16:K17"/>
    <mergeCell ref="N4:Q4"/>
    <mergeCell ref="S4:S5"/>
    <mergeCell ref="T4:T5"/>
    <mergeCell ref="U4:X4"/>
    <mergeCell ref="J4:J5"/>
    <mergeCell ref="K4:K5"/>
    <mergeCell ref="L4:L5"/>
    <mergeCell ref="M4:M5"/>
    <mergeCell ref="J8:J9"/>
    <mergeCell ref="K8:K9"/>
    <mergeCell ref="J10:J11"/>
    <mergeCell ref="K10:K11"/>
    <mergeCell ref="J6:J7"/>
    <mergeCell ref="K6:K7"/>
    <mergeCell ref="J12:J13"/>
    <mergeCell ref="K12:K13"/>
    <mergeCell ref="J14:J15"/>
    <mergeCell ref="K14:K15"/>
    <mergeCell ref="H36:H37"/>
    <mergeCell ref="H22:H23"/>
    <mergeCell ref="H24:H25"/>
    <mergeCell ref="H26:H27"/>
    <mergeCell ref="H28:H29"/>
    <mergeCell ref="H20:H21"/>
    <mergeCell ref="B2:C2"/>
    <mergeCell ref="D2:H2"/>
    <mergeCell ref="B3:G3"/>
    <mergeCell ref="H30:H31"/>
    <mergeCell ref="H32:H33"/>
    <mergeCell ref="H34:H35"/>
    <mergeCell ref="G34:G35"/>
    <mergeCell ref="G6:G7"/>
    <mergeCell ref="G8:G9"/>
    <mergeCell ref="E6:E7"/>
    <mergeCell ref="G24:G25"/>
    <mergeCell ref="F36:F37"/>
    <mergeCell ref="E32:E33"/>
    <mergeCell ref="F32:F33"/>
    <mergeCell ref="F34:F35"/>
    <mergeCell ref="G36:G37"/>
    <mergeCell ref="G26:G27"/>
    <mergeCell ref="G28:G29"/>
    <mergeCell ref="A1:H1"/>
    <mergeCell ref="H12:H13"/>
    <mergeCell ref="H14:H15"/>
    <mergeCell ref="H16:H17"/>
    <mergeCell ref="H18:H19"/>
    <mergeCell ref="H4:H5"/>
    <mergeCell ref="H6:H7"/>
    <mergeCell ref="H8:H9"/>
    <mergeCell ref="H10:H11"/>
    <mergeCell ref="G4:G5"/>
    <mergeCell ref="F6:F7"/>
    <mergeCell ref="E8:E9"/>
    <mergeCell ref="F8:F9"/>
    <mergeCell ref="E4:F5"/>
    <mergeCell ref="G10:G11"/>
    <mergeCell ref="G12:G13"/>
    <mergeCell ref="E12:E13"/>
    <mergeCell ref="F12:F13"/>
    <mergeCell ref="E10:E11"/>
    <mergeCell ref="F10:F11"/>
    <mergeCell ref="G14:G15"/>
    <mergeCell ref="G16:G17"/>
    <mergeCell ref="A12:A13"/>
    <mergeCell ref="B12:B13"/>
    <mergeCell ref="A36:A37"/>
    <mergeCell ref="B36:B37"/>
    <mergeCell ref="C36:C37"/>
    <mergeCell ref="D36:D37"/>
    <mergeCell ref="A34:A35"/>
    <mergeCell ref="B34:B35"/>
    <mergeCell ref="C34:C35"/>
    <mergeCell ref="D34:D35"/>
    <mergeCell ref="E36:E37"/>
    <mergeCell ref="E34:E35"/>
    <mergeCell ref="G30:G31"/>
    <mergeCell ref="G32:G33"/>
    <mergeCell ref="G18:G19"/>
    <mergeCell ref="G20:G21"/>
    <mergeCell ref="G22:G23"/>
    <mergeCell ref="E20:E21"/>
    <mergeCell ref="F20:F21"/>
    <mergeCell ref="F22:F23"/>
    <mergeCell ref="A22:A23"/>
    <mergeCell ref="B22:B23"/>
    <mergeCell ref="C22:C23"/>
    <mergeCell ref="A32:A33"/>
    <mergeCell ref="B32:B33"/>
    <mergeCell ref="C32:C33"/>
    <mergeCell ref="D32:D33"/>
    <mergeCell ref="A30:A31"/>
    <mergeCell ref="B30:B31"/>
    <mergeCell ref="C30:C31"/>
    <mergeCell ref="D30:D31"/>
    <mergeCell ref="E22:E23"/>
    <mergeCell ref="E24:E25"/>
    <mergeCell ref="A24:A25"/>
    <mergeCell ref="B24:B25"/>
    <mergeCell ref="C24:C25"/>
    <mergeCell ref="D24:D25"/>
    <mergeCell ref="E30:E31"/>
    <mergeCell ref="F30:F31"/>
    <mergeCell ref="F26:F27"/>
    <mergeCell ref="F24:F25"/>
    <mergeCell ref="E28:E29"/>
    <mergeCell ref="F28:F29"/>
    <mergeCell ref="E26:E27"/>
    <mergeCell ref="A28:A29"/>
    <mergeCell ref="B28:B29"/>
    <mergeCell ref="C28:C29"/>
    <mergeCell ref="D28:D29"/>
    <mergeCell ref="A26:A27"/>
    <mergeCell ref="B26:B27"/>
    <mergeCell ref="C26:C27"/>
    <mergeCell ref="D26:D27"/>
    <mergeCell ref="A20:A21"/>
    <mergeCell ref="B20:B21"/>
    <mergeCell ref="C20:C21"/>
    <mergeCell ref="D20:D21"/>
    <mergeCell ref="D22:D23"/>
    <mergeCell ref="E14:E15"/>
    <mergeCell ref="F14:F15"/>
    <mergeCell ref="E16:E17"/>
    <mergeCell ref="F16:F17"/>
    <mergeCell ref="A14:A15"/>
    <mergeCell ref="B14:B15"/>
    <mergeCell ref="C14:C15"/>
    <mergeCell ref="D14:D15"/>
    <mergeCell ref="E18:E19"/>
    <mergeCell ref="F18:F19"/>
    <mergeCell ref="A16:A17"/>
    <mergeCell ref="B16:B17"/>
    <mergeCell ref="A18:A19"/>
    <mergeCell ref="B18:B19"/>
    <mergeCell ref="C18:C19"/>
    <mergeCell ref="D18:D19"/>
    <mergeCell ref="C16:C17"/>
    <mergeCell ref="D16:D17"/>
    <mergeCell ref="C12:C13"/>
    <mergeCell ref="D12:D13"/>
    <mergeCell ref="A8:A9"/>
    <mergeCell ref="B8:B9"/>
    <mergeCell ref="A10:A11"/>
    <mergeCell ref="B10:B11"/>
    <mergeCell ref="C10:C11"/>
    <mergeCell ref="D10:D11"/>
    <mergeCell ref="A4:A5"/>
    <mergeCell ref="B4:B5"/>
    <mergeCell ref="C4:C5"/>
    <mergeCell ref="D4:D5"/>
    <mergeCell ref="C8:C9"/>
    <mergeCell ref="D8:D9"/>
    <mergeCell ref="A6:A7"/>
    <mergeCell ref="B6:B7"/>
    <mergeCell ref="C6:C7"/>
    <mergeCell ref="D6:D7"/>
  </mergeCells>
  <phoneticPr fontId="0" type="noConversion"/>
  <printOptions horizontalCentered="1"/>
  <pageMargins left="0.19685039370078741" right="0.19685039370078741" top="0.98425196850393704" bottom="0.98425196850393704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indexed="34"/>
  </sheetPr>
  <dimension ref="A1:S59"/>
  <sheetViews>
    <sheetView topLeftCell="A22" workbookViewId="0">
      <selection activeCell="L34" sqref="L34"/>
    </sheetView>
  </sheetViews>
  <sheetFormatPr defaultRowHeight="12.75"/>
  <cols>
    <col min="1" max="1" width="4.7109375" customWidth="1"/>
    <col min="2" max="2" width="15.5703125" customWidth="1"/>
    <col min="3" max="3" width="8.28515625" customWidth="1"/>
    <col min="5" max="5" width="4.7109375" customWidth="1"/>
    <col min="6" max="6" width="16.140625" customWidth="1"/>
    <col min="7" max="7" width="4.7109375" customWidth="1"/>
    <col min="8" max="8" width="14.5703125" customWidth="1"/>
    <col min="9" max="9" width="4.7109375" customWidth="1"/>
    <col min="11" max="11" width="7.7109375" customWidth="1"/>
    <col min="12" max="12" width="7.28515625" customWidth="1"/>
    <col min="13" max="13" width="4.7109375" customWidth="1"/>
    <col min="15" max="15" width="4.7109375" customWidth="1"/>
    <col min="17" max="17" width="4.7109375" customWidth="1"/>
    <col min="19" max="19" width="7.28515625" customWidth="1"/>
    <col min="20" max="20" width="12.85546875" customWidth="1"/>
    <col min="21" max="21" width="4.7109375" customWidth="1"/>
  </cols>
  <sheetData>
    <row r="1" spans="1:19" ht="33" customHeight="1">
      <c r="A1" s="205" t="str">
        <f>HYPERLINK([1]реквизиты!$A$2)</f>
        <v>Чемпионат России по САМБО среди женщин</v>
      </c>
      <c r="B1" s="205"/>
      <c r="C1" s="205"/>
      <c r="D1" s="205"/>
      <c r="E1" s="205"/>
      <c r="F1" s="205"/>
      <c r="G1" s="205"/>
      <c r="H1" s="205"/>
      <c r="I1" s="205"/>
      <c r="J1" s="205"/>
      <c r="K1" s="205"/>
      <c r="L1" s="44"/>
      <c r="M1" s="44"/>
      <c r="N1" s="44"/>
      <c r="O1" s="44"/>
      <c r="P1" s="44"/>
    </row>
    <row r="2" spans="1:19" ht="12.75" customHeight="1">
      <c r="A2" s="417" t="str">
        <f>HYPERLINK([1]реквизиты!$A$3)</f>
        <v>4-8  марта  2016 г.  г. Химки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5"/>
      <c r="M2" s="45"/>
      <c r="N2" s="45"/>
      <c r="O2" s="45"/>
      <c r="P2" s="45"/>
      <c r="S2" s="9"/>
    </row>
    <row r="3" spans="1:19" ht="15.75">
      <c r="A3" s="46"/>
      <c r="B3" s="46"/>
      <c r="C3" s="46"/>
      <c r="D3" s="46"/>
      <c r="E3" s="46"/>
      <c r="F3" s="67" t="str">
        <f>HYPERLINK(пр.взв.!D4)</f>
        <v>в.к. 68  кг.</v>
      </c>
      <c r="G3" s="46"/>
      <c r="H3" s="46"/>
      <c r="I3" s="46"/>
      <c r="J3" s="46"/>
      <c r="K3" s="46"/>
      <c r="L3" s="46"/>
    </row>
    <row r="4" spans="1:19" ht="16.5" thickBot="1">
      <c r="A4" s="416" t="s">
        <v>0</v>
      </c>
      <c r="B4" s="416"/>
      <c r="C4" s="5"/>
    </row>
    <row r="5" spans="1:19" ht="12.75" customHeight="1" thickBot="1">
      <c r="A5" s="418">
        <v>1</v>
      </c>
      <c r="B5" s="419" t="str">
        <f>VLOOKUP(A5,пр.взв.!B5:C36,2,FALSE)</f>
        <v>Куцар Яна Олеговна</v>
      </c>
      <c r="C5" s="421" t="str">
        <f>VLOOKUP(A5,пр.взв.!B5:F36,3,FALSE)</f>
        <v>29.05.96 кмс</v>
      </c>
      <c r="D5" s="419" t="str">
        <f>пр.взв.!F7</f>
        <v>Московская</v>
      </c>
      <c r="E5" s="12"/>
      <c r="F5" s="13"/>
      <c r="G5" s="13"/>
      <c r="H5" s="13"/>
      <c r="I5" s="13"/>
      <c r="J5" s="13"/>
      <c r="K5" s="91"/>
      <c r="L5" s="13"/>
      <c r="M5" s="14"/>
    </row>
    <row r="6" spans="1:19" ht="12.75" customHeight="1">
      <c r="A6" s="409"/>
      <c r="B6" s="420"/>
      <c r="C6" s="422"/>
      <c r="D6" s="420"/>
      <c r="E6" s="89"/>
      <c r="F6" s="15"/>
      <c r="G6" s="15"/>
      <c r="H6" s="13"/>
      <c r="I6" s="13"/>
      <c r="J6" s="13"/>
      <c r="K6" s="13"/>
      <c r="L6" s="13"/>
      <c r="M6" s="14"/>
    </row>
    <row r="7" spans="1:19" ht="12.75" customHeight="1" thickBot="1">
      <c r="A7" s="409">
        <v>9</v>
      </c>
      <c r="B7" s="411" t="str">
        <f>VLOOKUP(A7,пр.взв.!B7:C38,2,FALSE)</f>
        <v>Осинцева Илона Сергеевна</v>
      </c>
      <c r="C7" s="413" t="str">
        <f>VLOOKUP(A7,пр.взв.!B5:F36,3,FALSE)</f>
        <v>12.03.95 мс</v>
      </c>
      <c r="D7" s="415" t="str">
        <f>VLOOKUP(A7,пр.взв.!B1:G36,5,FALSE)</f>
        <v>Курганская, Шадринск</v>
      </c>
      <c r="E7" s="90"/>
      <c r="F7" s="20"/>
      <c r="G7" s="15"/>
      <c r="H7" s="13"/>
      <c r="I7" s="13"/>
      <c r="J7" s="13"/>
      <c r="K7" s="13"/>
      <c r="L7" s="13"/>
      <c r="M7" s="14"/>
    </row>
    <row r="8" spans="1:19" ht="12.75" customHeight="1" thickBot="1">
      <c r="A8" s="410"/>
      <c r="B8" s="412"/>
      <c r="C8" s="414"/>
      <c r="D8" s="412"/>
      <c r="E8" s="17"/>
      <c r="F8" s="21"/>
      <c r="G8" s="19"/>
      <c r="H8" s="13"/>
      <c r="I8" s="13"/>
      <c r="J8" s="43"/>
      <c r="K8" s="43"/>
      <c r="L8" s="43"/>
      <c r="M8" s="14"/>
    </row>
    <row r="9" spans="1:19" ht="12.75" customHeight="1" thickBot="1">
      <c r="A9" s="418">
        <v>5</v>
      </c>
      <c r="B9" s="419" t="str">
        <f>VLOOKUP(A9,пр.взв.!B9:C40,2,FALSE)</f>
        <v>Власова Александра Игоревна</v>
      </c>
      <c r="C9" s="421" t="str">
        <f>VLOOKUP(A9,пр.взв.!B5:E36,3,FALSE)</f>
        <v>15.05.96 кмс</v>
      </c>
      <c r="D9" s="419" t="str">
        <f>VLOOKUP(A9,пр.взв.!B3:G38,5,FALSE)</f>
        <v>Саратовская, Саратов</v>
      </c>
      <c r="E9" s="12"/>
      <c r="F9" s="21"/>
      <c r="G9" s="16"/>
      <c r="H9" s="26"/>
      <c r="I9" s="13"/>
      <c r="J9" s="43"/>
      <c r="K9" s="43"/>
      <c r="L9" s="43"/>
      <c r="M9" s="14"/>
    </row>
    <row r="10" spans="1:19" ht="12.75" customHeight="1">
      <c r="A10" s="409"/>
      <c r="B10" s="420"/>
      <c r="C10" s="422"/>
      <c r="D10" s="420"/>
      <c r="E10" s="89"/>
      <c r="F10" s="24"/>
      <c r="G10" s="15"/>
      <c r="H10" s="25"/>
      <c r="I10" s="13"/>
      <c r="J10" s="13"/>
      <c r="K10" s="13"/>
      <c r="L10" s="13"/>
      <c r="M10" s="14"/>
    </row>
    <row r="11" spans="1:19" ht="12.75" customHeight="1" thickBot="1">
      <c r="A11" s="409">
        <v>13</v>
      </c>
      <c r="B11" s="411" t="str">
        <f>VLOOKUP(A11,пр.взв.!B5:C36,2,FALSE)</f>
        <v xml:space="preserve">Станкевич Виктория Владимировна </v>
      </c>
      <c r="C11" s="413" t="str">
        <f>VLOOKUP(A11,пр.взв.!B5:E36,3,FALSE)</f>
        <v>12.11.90 мс</v>
      </c>
      <c r="D11" s="415" t="str">
        <f>VLOOKUP(A11,пр.взв.!B5:G40,5,FALSE)</f>
        <v>Москва</v>
      </c>
      <c r="E11" s="90"/>
      <c r="F11" s="15"/>
      <c r="G11" s="15"/>
      <c r="H11" s="25"/>
      <c r="I11" s="28"/>
      <c r="J11" s="29"/>
      <c r="K11" s="29"/>
      <c r="L11" s="13"/>
      <c r="M11" s="14"/>
    </row>
    <row r="12" spans="1:19" ht="12.75" customHeight="1" thickBot="1">
      <c r="A12" s="410"/>
      <c r="B12" s="412"/>
      <c r="C12" s="414"/>
      <c r="D12" s="412"/>
      <c r="E12" s="17"/>
      <c r="F12" s="423"/>
      <c r="G12" s="423"/>
      <c r="H12" s="25"/>
      <c r="I12" s="19"/>
      <c r="J12" s="13"/>
      <c r="K12" s="13"/>
      <c r="L12" s="13"/>
    </row>
    <row r="13" spans="1:19" ht="12.75" customHeight="1" thickBot="1">
      <c r="A13" s="418">
        <v>3</v>
      </c>
      <c r="B13" s="419" t="str">
        <f>VLOOKUP(A13,пр.взв.!B5:C36,2,FALSE)</f>
        <v>НАЗАРЕНКО Олеся Евгеньевна</v>
      </c>
      <c r="C13" s="421" t="str">
        <f>VLOOKUP(A13,пр.взв.!B5:E36,3,FALSE)</f>
        <v>21.03.76 мсмк</v>
      </c>
      <c r="D13" s="419" t="str">
        <f>VLOOKUP(A13,пр.взв.!B7:G42,5,FALSE)</f>
        <v xml:space="preserve">Москва С-70 Д </v>
      </c>
      <c r="E13" s="12"/>
      <c r="F13" s="15"/>
      <c r="G13" s="15"/>
      <c r="H13" s="25"/>
      <c r="I13" s="16"/>
      <c r="J13" s="42"/>
      <c r="K13" s="26"/>
      <c r="L13" s="13"/>
    </row>
    <row r="14" spans="1:19" ht="12.75" customHeight="1">
      <c r="A14" s="409"/>
      <c r="B14" s="420"/>
      <c r="C14" s="422"/>
      <c r="D14" s="420"/>
      <c r="E14" s="89"/>
      <c r="F14" s="15"/>
      <c r="G14" s="15"/>
      <c r="H14" s="25"/>
      <c r="I14" s="13"/>
      <c r="J14" s="13"/>
      <c r="K14" s="25"/>
      <c r="L14" s="13"/>
      <c r="M14" s="14"/>
    </row>
    <row r="15" spans="1:19" ht="12.75" customHeight="1" thickBot="1">
      <c r="A15" s="409">
        <v>11</v>
      </c>
      <c r="B15" s="411" t="str">
        <f>VLOOKUP(A15,пр.взв.!B15:C45,2,FALSE)</f>
        <v>ГУРЦИЕВА Маргарита Касполатовна</v>
      </c>
      <c r="C15" s="413" t="str">
        <f>VLOOKUP(A15,пр.взв.!B5:E36,3,FALSE)</f>
        <v>15.04.88 мсмк</v>
      </c>
      <c r="D15" s="415" t="str">
        <f>VLOOKUP(A15,пр.взв.!B9:G44,5,FALSE)</f>
        <v>РСО-Алания, Владикавказ Д</v>
      </c>
      <c r="E15" s="90"/>
      <c r="F15" s="20"/>
      <c r="G15" s="15"/>
      <c r="H15" s="25"/>
      <c r="I15" s="13"/>
      <c r="J15" s="13"/>
      <c r="K15" s="25"/>
      <c r="L15" s="13"/>
      <c r="M15" s="14"/>
    </row>
    <row r="16" spans="1:19" ht="12.75" customHeight="1" thickBot="1">
      <c r="A16" s="410"/>
      <c r="B16" s="412"/>
      <c r="C16" s="414"/>
      <c r="D16" s="412"/>
      <c r="E16" s="17"/>
      <c r="F16" s="21"/>
      <c r="G16" s="19"/>
      <c r="H16" s="27"/>
      <c r="I16" s="13"/>
      <c r="J16" s="13"/>
      <c r="K16" s="25"/>
      <c r="L16" s="13"/>
      <c r="M16" s="14"/>
    </row>
    <row r="17" spans="1:13" ht="12.75" customHeight="1" thickBot="1">
      <c r="A17" s="418">
        <v>7</v>
      </c>
      <c r="B17" s="419" t="str">
        <f>VLOOKUP(A17,пр.взв.!B17:C47,2,FALSE)</f>
        <v>Лугова Маргарита Витальевна</v>
      </c>
      <c r="C17" s="421" t="str">
        <f>VLOOKUP(A17,пр.взв.!B5:E36,3,FALSE)</f>
        <v>23.06.92 мс</v>
      </c>
      <c r="D17" s="419" t="str">
        <f>VLOOKUP(A17,пр.взв.!B11:G46,5,FALSE)</f>
        <v xml:space="preserve">С.Петербург </v>
      </c>
      <c r="E17" s="12"/>
      <c r="F17" s="22"/>
      <c r="G17" s="16"/>
      <c r="H17" s="10"/>
      <c r="I17" s="10"/>
      <c r="J17" s="10"/>
      <c r="K17" s="41"/>
      <c r="L17" s="10"/>
      <c r="M17" s="14"/>
    </row>
    <row r="18" spans="1:13" ht="12.75" customHeight="1">
      <c r="A18" s="409"/>
      <c r="B18" s="420"/>
      <c r="C18" s="422"/>
      <c r="D18" s="420"/>
      <c r="E18" s="89"/>
      <c r="F18" s="23"/>
      <c r="G18" s="17"/>
      <c r="H18" s="18"/>
      <c r="I18" s="18"/>
      <c r="J18" s="13"/>
      <c r="K18" s="25"/>
      <c r="L18" s="18"/>
      <c r="M18" s="14"/>
    </row>
    <row r="19" spans="1:13" ht="12.75" customHeight="1" thickBot="1">
      <c r="A19" s="409">
        <v>15</v>
      </c>
      <c r="B19" s="411" t="e">
        <f>VLOOKUP(A19,пр.взв.!B19:C49,2,FALSE)</f>
        <v>#N/A</v>
      </c>
      <c r="C19" s="413" t="e">
        <f>VLOOKUP(A19,пр.взв.!B5:E36,3,FALSE)</f>
        <v>#N/A</v>
      </c>
      <c r="D19" s="415" t="e">
        <f>VLOOKUP(A19,пр.взв.!B13:G48,5,FALSE)</f>
        <v>#N/A</v>
      </c>
      <c r="E19" s="90"/>
      <c r="F19" s="17"/>
      <c r="G19" s="17"/>
      <c r="H19" s="18"/>
      <c r="I19" s="18"/>
      <c r="J19" s="13"/>
      <c r="K19" s="25"/>
      <c r="L19" s="18"/>
      <c r="M19" s="14"/>
    </row>
    <row r="20" spans="1:13" ht="12.75" customHeight="1" thickBot="1">
      <c r="A20" s="410"/>
      <c r="B20" s="412"/>
      <c r="C20" s="414"/>
      <c r="D20" s="412"/>
      <c r="E20" s="17"/>
      <c r="F20" s="12"/>
      <c r="G20" s="12"/>
      <c r="H20" s="18"/>
      <c r="I20" s="18"/>
      <c r="J20" s="13"/>
      <c r="K20" s="25"/>
      <c r="L20" s="18"/>
      <c r="M20" s="13"/>
    </row>
    <row r="21" spans="1:13" ht="16.5" thickBot="1">
      <c r="A21" s="40" t="s">
        <v>1</v>
      </c>
      <c r="B21" s="1"/>
      <c r="C21" s="7"/>
      <c r="D21" s="4"/>
      <c r="E21" s="4"/>
      <c r="F21" s="4"/>
      <c r="G21" s="4"/>
      <c r="J21" s="4"/>
      <c r="K21" s="19"/>
      <c r="M21" s="11"/>
    </row>
    <row r="22" spans="1:13" ht="16.5" thickBot="1">
      <c r="A22" s="418">
        <v>2</v>
      </c>
      <c r="B22" s="419" t="str">
        <f>VLOOKUP(A22,пр.взв.!B7:E38,2,FALSE)</f>
        <v>Агеева Татьяна Андреевна</v>
      </c>
      <c r="C22" s="421" t="str">
        <f>VLOOKUP(A22,пр.взв.!B7:E38,3,FALSE)</f>
        <v>06.04.93 мс</v>
      </c>
      <c r="D22" s="419" t="str">
        <f>пр.взв.!F9</f>
        <v xml:space="preserve">Москва </v>
      </c>
      <c r="E22" s="12"/>
      <c r="F22" s="13"/>
      <c r="G22" s="13"/>
      <c r="H22" s="13"/>
      <c r="I22" s="13"/>
      <c r="J22" s="4"/>
      <c r="K22" s="16"/>
    </row>
    <row r="23" spans="1:13" ht="15.75">
      <c r="A23" s="409"/>
      <c r="B23" s="420"/>
      <c r="C23" s="422"/>
      <c r="D23" s="415"/>
      <c r="E23" s="89"/>
      <c r="F23" s="15"/>
      <c r="G23" s="15"/>
      <c r="H23" s="13"/>
      <c r="I23" s="13"/>
      <c r="J23" s="4"/>
      <c r="K23" s="31"/>
    </row>
    <row r="24" spans="1:13" ht="16.5" thickBot="1">
      <c r="A24" s="409">
        <v>10</v>
      </c>
      <c r="B24" s="411" t="str">
        <f>VLOOKUP(A24,пр.взв.!B7:E38,2,FALSE)</f>
        <v>Вереденко Дарья Андреевна</v>
      </c>
      <c r="C24" s="413" t="str">
        <f>VLOOKUP(A24,пр.взв.!B7:E38,3,FALSE)</f>
        <v>12.06.95 мс</v>
      </c>
      <c r="D24" s="415" t="str">
        <f>VLOOKUP(A24,пр.взв.!B8:G53,5,FALSE)</f>
        <v>Приморский</v>
      </c>
      <c r="E24" s="90"/>
      <c r="F24" s="20"/>
      <c r="G24" s="15"/>
      <c r="H24" s="13"/>
      <c r="I24" s="13"/>
      <c r="J24" s="4"/>
      <c r="K24" s="31"/>
    </row>
    <row r="25" spans="1:13" ht="16.5" thickBot="1">
      <c r="A25" s="410"/>
      <c r="B25" s="412"/>
      <c r="C25" s="414"/>
      <c r="D25" s="424"/>
      <c r="E25" s="17"/>
      <c r="F25" s="21"/>
      <c r="G25" s="19"/>
      <c r="H25" s="13"/>
      <c r="I25" s="13"/>
      <c r="J25" s="4"/>
      <c r="K25" s="31"/>
    </row>
    <row r="26" spans="1:13" ht="16.5" thickBot="1">
      <c r="A26" s="418">
        <v>6</v>
      </c>
      <c r="B26" s="419" t="str">
        <f>VLOOKUP(A26,пр.взв.!B7:E38,2,FALSE)</f>
        <v>Чемерская Анна Владимировна</v>
      </c>
      <c r="C26" s="421" t="str">
        <f>VLOOKUP(A26,пр.взв.!B7:E38,3,FALSE)</f>
        <v>08.08.94 мс</v>
      </c>
      <c r="D26" s="419" t="str">
        <f>VLOOKUP(A26,пр.взв.!B2:G55,5,FALSE)</f>
        <v xml:space="preserve">Новосибирская Новосибирск  </v>
      </c>
      <c r="E26" s="12"/>
      <c r="F26" s="21"/>
      <c r="G26" s="16"/>
      <c r="H26" s="26"/>
      <c r="I26" s="13"/>
      <c r="J26" s="4"/>
      <c r="K26" s="31"/>
    </row>
    <row r="27" spans="1:13" ht="15.75">
      <c r="A27" s="409"/>
      <c r="B27" s="420"/>
      <c r="C27" s="422"/>
      <c r="D27" s="415"/>
      <c r="E27" s="89"/>
      <c r="F27" s="24"/>
      <c r="G27" s="15"/>
      <c r="H27" s="25"/>
      <c r="I27" s="13"/>
      <c r="J27" s="4"/>
      <c r="K27" s="31"/>
    </row>
    <row r="28" spans="1:13" ht="16.5" thickBot="1">
      <c r="A28" s="409">
        <v>14</v>
      </c>
      <c r="B28" s="411" t="str">
        <f>VLOOKUP(A28,пр.взв.!B7:E38,2,FALSE)</f>
        <v>Мохнаткина Марина Юрьевна</v>
      </c>
      <c r="C28" s="413" t="str">
        <f>VLOOKUP(A28,пр.взв.!B7:E38,3,FALSE)</f>
        <v>12.05.88 змс</v>
      </c>
      <c r="D28" s="415" t="str">
        <f>VLOOKUP(A28,пр.взв.!B4:G57,5,FALSE)</f>
        <v>Пермский Пермь Д</v>
      </c>
      <c r="E28" s="90"/>
      <c r="F28" s="15"/>
      <c r="G28" s="15"/>
      <c r="H28" s="25"/>
      <c r="I28" s="28"/>
      <c r="J28" s="4"/>
      <c r="K28" s="31"/>
    </row>
    <row r="29" spans="1:13" ht="16.5" thickBot="1">
      <c r="A29" s="410"/>
      <c r="B29" s="412"/>
      <c r="C29" s="414"/>
      <c r="D29" s="424"/>
      <c r="E29" s="17"/>
      <c r="F29" s="423"/>
      <c r="G29" s="423"/>
      <c r="H29" s="25"/>
      <c r="I29" s="19"/>
      <c r="J29" s="3"/>
      <c r="K29" s="30"/>
    </row>
    <row r="30" spans="1:13" ht="16.5" thickBot="1">
      <c r="A30" s="418">
        <v>4</v>
      </c>
      <c r="B30" s="419" t="str">
        <f>VLOOKUP(A30,пр.взв.!B7:E38,2,FALSE)</f>
        <v>КРЮКОВА Ольга Владимировна</v>
      </c>
      <c r="C30" s="421" t="str">
        <f>VLOOKUP(A30,пр.взв.!B7:E38,3,FALSE)</f>
        <v>16.03.95 мс</v>
      </c>
      <c r="D30" s="419" t="str">
        <f>VLOOKUP(A30,пр.взв.!B6:G59,5,FALSE)</f>
        <v xml:space="preserve">Самарская, Самара  </v>
      </c>
      <c r="E30" s="12"/>
      <c r="F30" s="15"/>
      <c r="G30" s="15"/>
      <c r="H30" s="25"/>
      <c r="I30" s="16"/>
    </row>
    <row r="31" spans="1:13" ht="15.75">
      <c r="A31" s="409"/>
      <c r="B31" s="420"/>
      <c r="C31" s="422"/>
      <c r="D31" s="415"/>
      <c r="E31" s="89"/>
      <c r="F31" s="15"/>
      <c r="G31" s="15"/>
      <c r="H31" s="25"/>
      <c r="I31" s="13"/>
    </row>
    <row r="32" spans="1:13" ht="16.5" thickBot="1">
      <c r="A32" s="409">
        <v>12</v>
      </c>
      <c r="B32" s="411" t="str">
        <f>VLOOKUP(A32,пр.взв.!B7:E38,2,FALSE)</f>
        <v xml:space="preserve"> Кабанова Екатерина Александровна</v>
      </c>
      <c r="C32" s="413" t="str">
        <f>VLOOKUP(A32,пр.взв.!B7:E38,3,FALSE)</f>
        <v xml:space="preserve"> 13.01.91 мс</v>
      </c>
      <c r="D32" s="415" t="str">
        <f>VLOOKUP(A32,пр.взв.!B8:G61,5,FALSE)</f>
        <v>Москва МКС</v>
      </c>
      <c r="E32" s="90"/>
      <c r="F32" s="20"/>
      <c r="G32" s="15"/>
      <c r="H32" s="25"/>
      <c r="I32" s="13"/>
    </row>
    <row r="33" spans="1:13" ht="16.5" thickBot="1">
      <c r="A33" s="410"/>
      <c r="B33" s="412"/>
      <c r="C33" s="414"/>
      <c r="D33" s="424"/>
      <c r="E33" s="17"/>
      <c r="F33" s="21"/>
      <c r="G33" s="19"/>
      <c r="H33" s="27"/>
      <c r="I33" s="13"/>
    </row>
    <row r="34" spans="1:13" ht="16.5" thickBot="1">
      <c r="A34" s="418">
        <v>8</v>
      </c>
      <c r="B34" s="419" t="str">
        <f>VLOOKUP(A34,пр.взв.!B7:E38,2,FALSE)</f>
        <v>Петренко Наталья Андреевна</v>
      </c>
      <c r="C34" s="421" t="str">
        <f>VLOOKUP(A34,пр.взв.!B7:E38,3,FALSE)</f>
        <v>22.02.91 мс</v>
      </c>
      <c r="D34" s="419" t="str">
        <f>VLOOKUP(A34,пр.взв.!B10:G63,5,FALSE)</f>
        <v xml:space="preserve">Краснодарский, Лабинск  </v>
      </c>
      <c r="E34" s="12"/>
      <c r="F34" s="22"/>
      <c r="G34" s="16"/>
      <c r="H34" s="10"/>
      <c r="I34" s="10"/>
    </row>
    <row r="35" spans="1:13" ht="15.75">
      <c r="A35" s="409"/>
      <c r="B35" s="420"/>
      <c r="C35" s="422"/>
      <c r="D35" s="415"/>
      <c r="E35" s="89"/>
      <c r="F35" s="23"/>
      <c r="G35" s="17"/>
      <c r="H35" s="18"/>
      <c r="I35" s="18"/>
    </row>
    <row r="36" spans="1:13" ht="16.5" thickBot="1">
      <c r="A36" s="409">
        <v>16</v>
      </c>
      <c r="B36" s="411" t="e">
        <f>VLOOKUP(A36,пр.взв.!B7:E38,2,FALSE)</f>
        <v>#N/A</v>
      </c>
      <c r="C36" s="413" t="e">
        <f>VLOOKUP(A36,пр.взв.!B7:E38,3,FALSE)</f>
        <v>#N/A</v>
      </c>
      <c r="D36" s="415" t="e">
        <f>VLOOKUP(A36,пр.взв.!B12:G65,5,FALSE)</f>
        <v>#N/A</v>
      </c>
      <c r="E36" s="90"/>
      <c r="F36" s="17"/>
      <c r="G36" s="17"/>
      <c r="H36" s="18"/>
      <c r="I36" s="18"/>
    </row>
    <row r="37" spans="1:13" ht="16.5" thickBot="1">
      <c r="A37" s="410"/>
      <c r="B37" s="412"/>
      <c r="C37" s="414"/>
      <c r="D37" s="424"/>
      <c r="E37" s="17"/>
      <c r="F37" s="12"/>
      <c r="G37" s="12"/>
      <c r="H37" s="18"/>
      <c r="I37" s="18"/>
    </row>
    <row r="38" spans="1:13" ht="8.25" customHeight="1"/>
    <row r="39" spans="1:13">
      <c r="B39" s="32"/>
      <c r="C39" s="33"/>
      <c r="D39" s="425" t="s">
        <v>2</v>
      </c>
      <c r="E39" s="34"/>
      <c r="F39" s="34"/>
      <c r="G39" s="34"/>
      <c r="H39" s="34"/>
      <c r="I39" s="34"/>
    </row>
    <row r="40" spans="1:13" ht="12" customHeight="1">
      <c r="B40" s="58"/>
      <c r="C40" s="32"/>
      <c r="D40" s="425"/>
      <c r="E40" s="34"/>
      <c r="F40" s="34"/>
      <c r="G40" s="34"/>
      <c r="H40" s="34"/>
      <c r="I40" s="34"/>
    </row>
    <row r="41" spans="1:13" ht="12" customHeight="1">
      <c r="B41" s="32"/>
      <c r="C41" s="32"/>
      <c r="E41" s="34"/>
      <c r="F41" s="34"/>
      <c r="G41" s="34"/>
      <c r="H41" s="34"/>
      <c r="I41" s="34"/>
      <c r="J41" s="34"/>
    </row>
    <row r="42" spans="1:13" ht="12" customHeight="1">
      <c r="B42" s="32"/>
      <c r="C42" s="32"/>
      <c r="E42" s="6"/>
      <c r="F42" s="37"/>
      <c r="G42" s="34"/>
      <c r="H42" s="34"/>
      <c r="I42" s="34"/>
      <c r="J42" s="34"/>
      <c r="K42" s="34"/>
    </row>
    <row r="43" spans="1:13" ht="12" customHeight="1">
      <c r="B43" s="32"/>
      <c r="C43" s="32"/>
      <c r="E43" s="3"/>
      <c r="F43" s="36"/>
      <c r="G43" s="35"/>
      <c r="H43" s="37"/>
      <c r="I43" s="34"/>
      <c r="J43" s="34"/>
      <c r="K43" s="32"/>
    </row>
    <row r="44" spans="1:13" ht="12" customHeight="1">
      <c r="B44" s="58"/>
      <c r="C44" s="32"/>
      <c r="F44" s="34"/>
      <c r="G44" s="32"/>
      <c r="H44" s="39"/>
      <c r="I44" s="34"/>
      <c r="J44" s="34"/>
      <c r="K44" s="32"/>
    </row>
    <row r="45" spans="1:13" ht="12" customHeight="1" thickBot="1">
      <c r="B45" s="32"/>
      <c r="C45" s="32"/>
      <c r="F45" s="34"/>
      <c r="G45" s="32"/>
      <c r="H45" s="39"/>
      <c r="I45" s="35"/>
      <c r="J45" s="37"/>
      <c r="K45" s="32"/>
    </row>
    <row r="46" spans="1:13" ht="12" customHeight="1">
      <c r="B46" s="32"/>
      <c r="C46" s="32"/>
      <c r="E46" s="6"/>
      <c r="F46" s="37"/>
      <c r="G46" s="38"/>
      <c r="H46" s="36"/>
      <c r="I46" s="32"/>
      <c r="J46" s="39"/>
      <c r="K46" s="19"/>
      <c r="L46" s="4"/>
    </row>
    <row r="47" spans="1:13" ht="12" customHeight="1" thickBot="1">
      <c r="B47" s="32"/>
      <c r="C47" s="32"/>
      <c r="E47" s="3"/>
      <c r="F47" s="36"/>
      <c r="G47" s="34"/>
      <c r="H47" s="34"/>
      <c r="I47" s="32"/>
      <c r="J47" s="39"/>
      <c r="K47" s="16"/>
      <c r="L47" s="4"/>
      <c r="M47" s="4"/>
    </row>
    <row r="48" spans="1:13" ht="12" customHeight="1">
      <c r="B48" s="34"/>
      <c r="C48" s="34"/>
      <c r="D48" s="426" t="s">
        <v>3</v>
      </c>
      <c r="F48" s="34"/>
      <c r="G48" s="34"/>
      <c r="H48" s="34"/>
      <c r="I48" s="38"/>
      <c r="J48" s="36"/>
      <c r="K48" s="32"/>
      <c r="L48" s="4"/>
      <c r="M48" s="4"/>
    </row>
    <row r="49" spans="2:13" ht="12" customHeight="1">
      <c r="B49" s="58"/>
      <c r="C49" s="32"/>
      <c r="D49" s="426"/>
      <c r="F49" s="34"/>
      <c r="G49" s="34"/>
      <c r="H49" s="34"/>
      <c r="I49" s="34"/>
      <c r="J49" s="34"/>
      <c r="K49" s="4"/>
      <c r="L49" s="4"/>
      <c r="M49" s="4"/>
    </row>
    <row r="50" spans="2:13" ht="15.75" customHeight="1">
      <c r="B50" s="32"/>
      <c r="C50" s="32"/>
      <c r="D50" s="4"/>
      <c r="F50" s="34"/>
      <c r="G50" s="34"/>
      <c r="H50" s="34"/>
      <c r="I50" s="34"/>
      <c r="J50" s="34"/>
      <c r="K50" s="32"/>
      <c r="L50" s="12"/>
      <c r="M50" s="4"/>
    </row>
    <row r="51" spans="2:13" ht="15.75" customHeight="1">
      <c r="B51" s="32"/>
      <c r="C51" s="32"/>
      <c r="D51" s="4"/>
      <c r="E51" s="6"/>
      <c r="F51" s="37"/>
      <c r="G51" s="34"/>
      <c r="H51" s="34"/>
      <c r="I51" s="34"/>
      <c r="J51" s="34"/>
      <c r="K51" s="32"/>
      <c r="L51" s="17"/>
      <c r="M51" s="4"/>
    </row>
    <row r="52" spans="2:13" ht="12" customHeight="1">
      <c r="B52" s="32"/>
      <c r="C52" s="32"/>
      <c r="D52" s="4"/>
      <c r="E52" s="3"/>
      <c r="F52" s="36"/>
      <c r="G52" s="35"/>
      <c r="H52" s="37"/>
      <c r="I52" s="34"/>
      <c r="J52" s="34"/>
      <c r="K52" s="32"/>
      <c r="L52" s="4"/>
      <c r="M52" s="4"/>
    </row>
    <row r="53" spans="2:13" ht="12" customHeight="1">
      <c r="B53" s="58"/>
      <c r="C53" s="32"/>
      <c r="D53" s="32"/>
      <c r="F53" s="34"/>
      <c r="G53" s="32"/>
      <c r="H53" s="39"/>
      <c r="I53" s="34"/>
      <c r="J53" s="34"/>
      <c r="K53" s="32"/>
      <c r="L53" s="4"/>
      <c r="M53" s="4"/>
    </row>
    <row r="54" spans="2:13" ht="12" customHeight="1" thickBot="1">
      <c r="B54" s="32"/>
      <c r="C54" s="32"/>
      <c r="D54" s="4"/>
      <c r="F54" s="34"/>
      <c r="G54" s="32"/>
      <c r="H54" s="39"/>
      <c r="I54" s="35"/>
      <c r="J54" s="37"/>
      <c r="K54" s="32"/>
      <c r="L54" s="4"/>
      <c r="M54" s="4"/>
    </row>
    <row r="55" spans="2:13" ht="12" customHeight="1">
      <c r="B55" s="32"/>
      <c r="C55" s="32"/>
      <c r="D55" s="4"/>
      <c r="E55" s="6"/>
      <c r="F55" s="37"/>
      <c r="G55" s="38"/>
      <c r="H55" s="36"/>
      <c r="I55" s="32"/>
      <c r="J55" s="39"/>
      <c r="K55" s="19"/>
      <c r="L55" s="4"/>
      <c r="M55" s="4"/>
    </row>
    <row r="56" spans="2:13" ht="12" customHeight="1" thickBot="1">
      <c r="B56" s="32"/>
      <c r="C56" s="34"/>
      <c r="E56" s="3"/>
      <c r="F56" s="36"/>
      <c r="G56" s="34"/>
      <c r="H56" s="34"/>
      <c r="I56" s="32"/>
      <c r="J56" s="39"/>
      <c r="K56" s="16"/>
      <c r="L56" s="4"/>
      <c r="M56" s="4"/>
    </row>
    <row r="57" spans="2:13" ht="15.75">
      <c r="B57" s="34"/>
      <c r="C57" s="34"/>
      <c r="F57" s="34"/>
      <c r="G57" s="34"/>
      <c r="H57" s="34"/>
      <c r="I57" s="38"/>
      <c r="J57" s="36"/>
      <c r="K57" s="12"/>
      <c r="L57" s="4"/>
    </row>
    <row r="58" spans="2:13" ht="15.75">
      <c r="G58" s="4"/>
      <c r="H58" s="4"/>
      <c r="I58" s="17"/>
      <c r="J58" s="4"/>
      <c r="L58" s="4"/>
    </row>
    <row r="59" spans="2:13">
      <c r="G59" s="4"/>
      <c r="H59" s="4"/>
      <c r="I59" s="32"/>
      <c r="J59" s="4"/>
      <c r="L59" s="4"/>
    </row>
  </sheetData>
  <mergeCells count="71">
    <mergeCell ref="D34:D35"/>
    <mergeCell ref="A36:A37"/>
    <mergeCell ref="D39:D40"/>
    <mergeCell ref="D48:D49"/>
    <mergeCell ref="B36:B37"/>
    <mergeCell ref="C36:C37"/>
    <mergeCell ref="D36:D37"/>
    <mergeCell ref="B34:B35"/>
    <mergeCell ref="F29:G29"/>
    <mergeCell ref="B32:B33"/>
    <mergeCell ref="C32:C33"/>
    <mergeCell ref="D32:D33"/>
    <mergeCell ref="B28:B29"/>
    <mergeCell ref="C28:C29"/>
    <mergeCell ref="B30:B31"/>
    <mergeCell ref="C30:C31"/>
    <mergeCell ref="D30:D31"/>
    <mergeCell ref="D28:D29"/>
    <mergeCell ref="D22:D23"/>
    <mergeCell ref="B24:B25"/>
    <mergeCell ref="C24:C25"/>
    <mergeCell ref="D24:D25"/>
    <mergeCell ref="B26:B27"/>
    <mergeCell ref="C26:C27"/>
    <mergeCell ref="D26:D27"/>
    <mergeCell ref="B22:B23"/>
    <mergeCell ref="A28:A29"/>
    <mergeCell ref="C19:C20"/>
    <mergeCell ref="A30:A31"/>
    <mergeCell ref="A32:A33"/>
    <mergeCell ref="A34:A35"/>
    <mergeCell ref="C34:C35"/>
    <mergeCell ref="A22:A23"/>
    <mergeCell ref="A24:A25"/>
    <mergeCell ref="A26:A27"/>
    <mergeCell ref="C22:C23"/>
    <mergeCell ref="F12:G12"/>
    <mergeCell ref="A13:A14"/>
    <mergeCell ref="B13:B14"/>
    <mergeCell ref="C13:C14"/>
    <mergeCell ref="D13:D14"/>
    <mergeCell ref="B11:B12"/>
    <mergeCell ref="C11:C12"/>
    <mergeCell ref="D11:D12"/>
    <mergeCell ref="A15:A16"/>
    <mergeCell ref="B15:B16"/>
    <mergeCell ref="C15:C16"/>
    <mergeCell ref="D15:D16"/>
    <mergeCell ref="D19:D20"/>
    <mergeCell ref="A17:A18"/>
    <mergeCell ref="B17:B18"/>
    <mergeCell ref="C17:C18"/>
    <mergeCell ref="D17:D18"/>
    <mergeCell ref="A19:A20"/>
    <mergeCell ref="B19:B20"/>
    <mergeCell ref="A9:A10"/>
    <mergeCell ref="B9:B10"/>
    <mergeCell ref="A11:A12"/>
    <mergeCell ref="C9:C10"/>
    <mergeCell ref="D9:D10"/>
    <mergeCell ref="A1:K1"/>
    <mergeCell ref="A2:K2"/>
    <mergeCell ref="A5:A6"/>
    <mergeCell ref="B5:B6"/>
    <mergeCell ref="C5:C6"/>
    <mergeCell ref="D5:D6"/>
    <mergeCell ref="A7:A8"/>
    <mergeCell ref="B7:B8"/>
    <mergeCell ref="C7:C8"/>
    <mergeCell ref="D7:D8"/>
    <mergeCell ref="A4:B4"/>
  </mergeCells>
  <phoneticPr fontId="12" type="noConversion"/>
  <printOptions horizontalCentered="1"/>
  <pageMargins left="0" right="0" top="0" bottom="0" header="0.51181102362204722" footer="0.51181102362204722"/>
  <pageSetup paperSize="9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indexed="15"/>
  </sheetPr>
  <dimension ref="A1:J44"/>
  <sheetViews>
    <sheetView workbookViewId="0">
      <selection activeCell="I42" sqref="A1:I42"/>
    </sheetView>
  </sheetViews>
  <sheetFormatPr defaultRowHeight="12.75"/>
  <sheetData>
    <row r="1" spans="1:10" ht="15.75" thickBot="1">
      <c r="A1" s="390" t="str">
        <f>HYPERLINK([1]реквизиты!$A$2)</f>
        <v>Чемпионат России по САМБО среди женщин</v>
      </c>
      <c r="B1" s="391"/>
      <c r="C1" s="391"/>
      <c r="D1" s="391"/>
      <c r="E1" s="391"/>
      <c r="F1" s="391"/>
      <c r="G1" s="391"/>
      <c r="H1" s="392"/>
    </row>
    <row r="2" spans="1:10">
      <c r="A2" s="427" t="str">
        <f>HYPERLINK([1]реквизиты!$A$3)</f>
        <v>4-8  марта  2016 г.  г. Химки</v>
      </c>
      <c r="B2" s="427"/>
      <c r="C2" s="427"/>
      <c r="D2" s="427"/>
      <c r="E2" s="427"/>
      <c r="F2" s="427"/>
      <c r="G2" s="427"/>
      <c r="H2" s="427"/>
    </row>
    <row r="3" spans="1:10" ht="18.75" thickBot="1">
      <c r="A3" s="428" t="s">
        <v>30</v>
      </c>
      <c r="B3" s="428"/>
      <c r="C3" s="428"/>
      <c r="D3" s="428"/>
      <c r="E3" s="428"/>
      <c r="F3" s="428"/>
      <c r="G3" s="428"/>
      <c r="H3" s="428"/>
    </row>
    <row r="4" spans="1:10" ht="18.75" thickBot="1">
      <c r="B4" s="70"/>
      <c r="C4" s="71"/>
      <c r="D4" s="429" t="str">
        <f>HYPERLINK(пр.взв.!D4)</f>
        <v>в.к. 68  кг.</v>
      </c>
      <c r="E4" s="430"/>
      <c r="F4" s="431"/>
      <c r="G4" s="71"/>
      <c r="H4" s="71"/>
    </row>
    <row r="5" spans="1:10" ht="18.75" thickBot="1">
      <c r="A5" s="71"/>
      <c r="B5" s="71"/>
      <c r="C5" s="71"/>
      <c r="D5" s="71"/>
      <c r="E5" s="71"/>
      <c r="F5" s="71"/>
      <c r="G5" s="71"/>
      <c r="H5" s="71"/>
    </row>
    <row r="6" spans="1:10" ht="18">
      <c r="A6" s="432" t="s">
        <v>31</v>
      </c>
      <c r="B6" s="441" t="str">
        <f>VLOOKUP(J6,пр.взв.!B7:G38,2,FALSE)</f>
        <v>Мохнаткина Марина Юрьевна</v>
      </c>
      <c r="C6" s="441"/>
      <c r="D6" s="441"/>
      <c r="E6" s="441"/>
      <c r="F6" s="441"/>
      <c r="G6" s="441"/>
      <c r="H6" s="435" t="str">
        <f>VLOOKUP(J6,пр.взв.!B7:G38,3,FALSE)</f>
        <v>12.05.88 змс</v>
      </c>
      <c r="I6" s="71"/>
      <c r="J6" s="69">
        <f>пр.хода!H8</f>
        <v>14</v>
      </c>
    </row>
    <row r="7" spans="1:10" ht="18">
      <c r="A7" s="433"/>
      <c r="B7" s="442"/>
      <c r="C7" s="442"/>
      <c r="D7" s="442"/>
      <c r="E7" s="442"/>
      <c r="F7" s="442"/>
      <c r="G7" s="442"/>
      <c r="H7" s="436"/>
      <c r="I7" s="71"/>
      <c r="J7" s="69"/>
    </row>
    <row r="8" spans="1:10" ht="18">
      <c r="A8" s="433"/>
      <c r="B8" s="437" t="str">
        <f>VLOOKUP(J6,пр.взв.!B7:G38,4,FALSE)</f>
        <v>ПФО</v>
      </c>
      <c r="C8" s="437"/>
      <c r="D8" s="437" t="str">
        <f>VLOOKUP(J6,пр.взв.!B7:G38,5,FALSE)</f>
        <v>Пермский Пермь Д</v>
      </c>
      <c r="E8" s="437"/>
      <c r="F8" s="437"/>
      <c r="G8" s="437"/>
      <c r="H8" s="439"/>
      <c r="I8" s="71"/>
      <c r="J8" s="69"/>
    </row>
    <row r="9" spans="1:10" ht="18.75" thickBot="1">
      <c r="A9" s="434"/>
      <c r="B9" s="438"/>
      <c r="C9" s="438"/>
      <c r="D9" s="438"/>
      <c r="E9" s="438"/>
      <c r="F9" s="438"/>
      <c r="G9" s="438"/>
      <c r="H9" s="440"/>
      <c r="I9" s="71"/>
      <c r="J9" s="69"/>
    </row>
    <row r="10" spans="1:10" ht="18.75" thickBot="1">
      <c r="A10" s="71"/>
      <c r="B10" s="71"/>
      <c r="C10" s="71"/>
      <c r="D10" s="71"/>
      <c r="E10" s="71"/>
      <c r="F10" s="71"/>
      <c r="G10" s="71"/>
      <c r="H10" s="71"/>
      <c r="I10" s="71"/>
      <c r="J10" s="69"/>
    </row>
    <row r="11" spans="1:10" ht="18" customHeight="1">
      <c r="A11" s="450" t="s">
        <v>32</v>
      </c>
      <c r="B11" s="441" t="str">
        <f>VLOOKUP(J11,пр.взв.!B2:G43,2,FALSE)</f>
        <v>ГУРЦИЕВА Маргарита Касполатовна</v>
      </c>
      <c r="C11" s="441"/>
      <c r="D11" s="441"/>
      <c r="E11" s="441"/>
      <c r="F11" s="441"/>
      <c r="G11" s="441"/>
      <c r="H11" s="435" t="str">
        <f>VLOOKUP(J11,пр.взв.!B2:G43,3,FALSE)</f>
        <v>15.04.88 мсмк</v>
      </c>
      <c r="I11" s="71"/>
      <c r="J11" s="69">
        <f>пр.хода!H20</f>
        <v>11</v>
      </c>
    </row>
    <row r="12" spans="1:10" ht="18" customHeight="1">
      <c r="A12" s="451"/>
      <c r="B12" s="442"/>
      <c r="C12" s="442"/>
      <c r="D12" s="442"/>
      <c r="E12" s="442"/>
      <c r="F12" s="442"/>
      <c r="G12" s="442"/>
      <c r="H12" s="436"/>
      <c r="I12" s="71"/>
      <c r="J12" s="69"/>
    </row>
    <row r="13" spans="1:10" ht="18">
      <c r="A13" s="451"/>
      <c r="B13" s="437" t="str">
        <f>VLOOKUP(J11,пр.взв.!B2:G43,4,FALSE)</f>
        <v>СКФО</v>
      </c>
      <c r="C13" s="437"/>
      <c r="D13" s="437" t="str">
        <f>VLOOKUP(J11,пр.взв.!B2:G43,5,FALSE)</f>
        <v>РСО-Алания, Владикавказ Д</v>
      </c>
      <c r="E13" s="437"/>
      <c r="F13" s="437"/>
      <c r="G13" s="437"/>
      <c r="H13" s="439"/>
      <c r="I13" s="71"/>
      <c r="J13" s="69"/>
    </row>
    <row r="14" spans="1:10" ht="18.75" thickBot="1">
      <c r="A14" s="452"/>
      <c r="B14" s="438"/>
      <c r="C14" s="438"/>
      <c r="D14" s="438"/>
      <c r="E14" s="438"/>
      <c r="F14" s="438"/>
      <c r="G14" s="438"/>
      <c r="H14" s="440"/>
      <c r="I14" s="71"/>
      <c r="J14" s="69"/>
    </row>
    <row r="15" spans="1:10" ht="18.75" thickBot="1">
      <c r="A15" s="71"/>
      <c r="B15" s="71"/>
      <c r="C15" s="71"/>
      <c r="D15" s="71"/>
      <c r="E15" s="71"/>
      <c r="F15" s="71"/>
      <c r="G15" s="71"/>
      <c r="H15" s="71"/>
      <c r="I15" s="71"/>
      <c r="J15" s="69"/>
    </row>
    <row r="16" spans="1:10" ht="18" customHeight="1">
      <c r="A16" s="447" t="s">
        <v>33</v>
      </c>
      <c r="B16" s="441" t="str">
        <f>VLOOKUP(J16,пр.взв.!B4:G87,2,FALSE)</f>
        <v>КРЮКОВА Ольга Владимировна</v>
      </c>
      <c r="C16" s="441"/>
      <c r="D16" s="441"/>
      <c r="E16" s="441"/>
      <c r="F16" s="441"/>
      <c r="G16" s="441"/>
      <c r="H16" s="435" t="str">
        <f>VLOOKUP(J16,пр.взв.!B4:G97,3,FALSE)</f>
        <v>16.03.95 мс</v>
      </c>
      <c r="I16" s="71"/>
      <c r="J16" s="69">
        <f>пр.хода!E32</f>
        <v>4</v>
      </c>
    </row>
    <row r="17" spans="1:10" ht="18" customHeight="1">
      <c r="A17" s="448"/>
      <c r="B17" s="442"/>
      <c r="C17" s="442"/>
      <c r="D17" s="442"/>
      <c r="E17" s="442"/>
      <c r="F17" s="442"/>
      <c r="G17" s="442"/>
      <c r="H17" s="436"/>
      <c r="I17" s="71"/>
      <c r="J17" s="69"/>
    </row>
    <row r="18" spans="1:10" ht="18">
      <c r="A18" s="448"/>
      <c r="B18" s="437" t="str">
        <f>VLOOKUP(J16,пр.взв.!B7:G48,4,FALSE)</f>
        <v>ПФО</v>
      </c>
      <c r="C18" s="437"/>
      <c r="D18" s="437" t="str">
        <f>VLOOKUP(J16,пр.взв.!B7:G48,5,FALSE)</f>
        <v xml:space="preserve">Самарская, Самара  </v>
      </c>
      <c r="E18" s="437"/>
      <c r="F18" s="437"/>
      <c r="G18" s="437"/>
      <c r="H18" s="439"/>
      <c r="I18" s="71"/>
      <c r="J18" s="69"/>
    </row>
    <row r="19" spans="1:10" ht="18.75" thickBot="1">
      <c r="A19" s="449"/>
      <c r="B19" s="438"/>
      <c r="C19" s="438"/>
      <c r="D19" s="438"/>
      <c r="E19" s="438"/>
      <c r="F19" s="438"/>
      <c r="G19" s="438"/>
      <c r="H19" s="440"/>
      <c r="I19" s="71"/>
      <c r="J19" s="69"/>
    </row>
    <row r="20" spans="1:10" ht="18.75" thickBot="1">
      <c r="A20" s="71"/>
      <c r="B20" s="71"/>
      <c r="C20" s="71"/>
      <c r="D20" s="71"/>
      <c r="E20" s="71"/>
      <c r="F20" s="71"/>
      <c r="G20" s="71"/>
      <c r="H20" s="71"/>
      <c r="I20" s="71"/>
      <c r="J20" s="69"/>
    </row>
    <row r="21" spans="1:10" ht="18" customHeight="1">
      <c r="A21" s="447" t="s">
        <v>33</v>
      </c>
      <c r="B21" s="441" t="str">
        <f>VLOOKUP(J21,пр.взв.!B2:G53,2,FALSE)</f>
        <v xml:space="preserve"> Кабанова Екатерина Александровна</v>
      </c>
      <c r="C21" s="441"/>
      <c r="D21" s="441"/>
      <c r="E21" s="441"/>
      <c r="F21" s="441"/>
      <c r="G21" s="441"/>
      <c r="H21" s="435" t="str">
        <f>VLOOKUP(J21,пр.взв.!B3:G92,3,FALSE)</f>
        <v xml:space="preserve"> 13.01.91 мс</v>
      </c>
      <c r="I21" s="71"/>
      <c r="J21" s="69">
        <f>пр.хода!Q32</f>
        <v>12</v>
      </c>
    </row>
    <row r="22" spans="1:10" ht="18" customHeight="1">
      <c r="A22" s="448"/>
      <c r="B22" s="442"/>
      <c r="C22" s="442"/>
      <c r="D22" s="442"/>
      <c r="E22" s="442"/>
      <c r="F22" s="442"/>
      <c r="G22" s="442"/>
      <c r="H22" s="436"/>
      <c r="I22" s="71"/>
      <c r="J22" s="69"/>
    </row>
    <row r="23" spans="1:10" ht="18">
      <c r="A23" s="448"/>
      <c r="B23" s="437" t="str">
        <f>VLOOKUP(J21,пр.взв.!B6:G53,4,FALSE)</f>
        <v>МОС</v>
      </c>
      <c r="C23" s="437"/>
      <c r="D23" s="437" t="str">
        <f>VLOOKUP(J21,пр.взв.!B6:G53,5,FALSE)</f>
        <v>Москва МКС</v>
      </c>
      <c r="E23" s="437"/>
      <c r="F23" s="437"/>
      <c r="G23" s="437"/>
      <c r="H23" s="439"/>
      <c r="I23" s="71"/>
    </row>
    <row r="24" spans="1:10" ht="18.75" thickBot="1">
      <c r="A24" s="449"/>
      <c r="B24" s="438"/>
      <c r="C24" s="438"/>
      <c r="D24" s="438"/>
      <c r="E24" s="438"/>
      <c r="F24" s="438"/>
      <c r="G24" s="438"/>
      <c r="H24" s="440"/>
      <c r="I24" s="71"/>
    </row>
    <row r="25" spans="1:10" ht="18">
      <c r="A25" s="71"/>
      <c r="B25" s="71"/>
      <c r="C25" s="71"/>
      <c r="D25" s="71"/>
      <c r="E25" s="71"/>
      <c r="F25" s="71"/>
      <c r="G25" s="71"/>
      <c r="H25" s="71"/>
    </row>
    <row r="26" spans="1:10" ht="18">
      <c r="A26" s="71" t="s">
        <v>50</v>
      </c>
      <c r="B26" s="71"/>
      <c r="C26" s="71"/>
      <c r="D26" s="71"/>
      <c r="E26" s="71"/>
      <c r="F26" s="71"/>
      <c r="G26" s="71"/>
      <c r="H26" s="71"/>
    </row>
    <row r="27" spans="1:10" ht="13.5" thickBot="1"/>
    <row r="28" spans="1:10">
      <c r="A28" s="443" t="str">
        <f>VLOOKUP(J28,пр.взв.!B7:H38,7,FALSE)</f>
        <v>Газеев АГ</v>
      </c>
      <c r="B28" s="444"/>
      <c r="C28" s="444"/>
      <c r="D28" s="444"/>
      <c r="E28" s="444"/>
      <c r="F28" s="444"/>
      <c r="G28" s="444"/>
      <c r="H28" s="445"/>
      <c r="J28">
        <f>пр.хода!H8</f>
        <v>14</v>
      </c>
    </row>
    <row r="29" spans="1:10" ht="13.5" thickBot="1">
      <c r="A29" s="446"/>
      <c r="B29" s="438"/>
      <c r="C29" s="438"/>
      <c r="D29" s="438"/>
      <c r="E29" s="438"/>
      <c r="F29" s="438"/>
      <c r="G29" s="438"/>
      <c r="H29" s="440"/>
    </row>
    <row r="36" spans="1:8" ht="18">
      <c r="A36" s="71" t="s">
        <v>34</v>
      </c>
      <c r="B36" s="71"/>
      <c r="C36" s="71"/>
      <c r="D36" s="71"/>
      <c r="E36" s="71"/>
      <c r="F36" s="71"/>
      <c r="G36" s="71"/>
      <c r="H36" s="71"/>
    </row>
    <row r="37" spans="1:8" ht="18">
      <c r="A37" s="71"/>
      <c r="B37" s="71"/>
      <c r="C37" s="71"/>
      <c r="D37" s="71"/>
      <c r="E37" s="71"/>
      <c r="F37" s="71"/>
      <c r="G37" s="71"/>
      <c r="H37" s="71"/>
    </row>
    <row r="38" spans="1:8" ht="18">
      <c r="A38" s="71"/>
      <c r="B38" s="71"/>
      <c r="C38" s="71"/>
      <c r="D38" s="71"/>
      <c r="E38" s="71"/>
      <c r="F38" s="71"/>
      <c r="G38" s="71"/>
      <c r="H38" s="71"/>
    </row>
    <row r="39" spans="1:8" ht="18">
      <c r="A39" s="72"/>
      <c r="B39" s="72"/>
      <c r="C39" s="72"/>
      <c r="D39" s="72"/>
      <c r="E39" s="72"/>
      <c r="F39" s="72"/>
      <c r="G39" s="72"/>
      <c r="H39" s="72"/>
    </row>
    <row r="40" spans="1:8" ht="18">
      <c r="A40" s="73"/>
      <c r="B40" s="73"/>
      <c r="C40" s="73"/>
      <c r="D40" s="73"/>
      <c r="E40" s="73"/>
      <c r="F40" s="73"/>
      <c r="G40" s="73"/>
      <c r="H40" s="73"/>
    </row>
    <row r="41" spans="1:8" ht="18">
      <c r="A41" s="72"/>
      <c r="B41" s="72"/>
      <c r="C41" s="72"/>
      <c r="D41" s="72"/>
      <c r="E41" s="72"/>
      <c r="F41" s="72"/>
      <c r="G41" s="72"/>
      <c r="H41" s="72"/>
    </row>
    <row r="42" spans="1:8" ht="18">
      <c r="A42" s="74"/>
      <c r="B42" s="74"/>
      <c r="C42" s="74"/>
      <c r="D42" s="74"/>
      <c r="E42" s="74"/>
      <c r="F42" s="74"/>
      <c r="G42" s="74"/>
      <c r="H42" s="74"/>
    </row>
    <row r="43" spans="1:8" ht="18">
      <c r="A43" s="72"/>
      <c r="B43" s="72"/>
      <c r="C43" s="72"/>
      <c r="D43" s="72"/>
      <c r="E43" s="72"/>
      <c r="F43" s="72"/>
      <c r="G43" s="72"/>
      <c r="H43" s="72"/>
    </row>
    <row r="44" spans="1:8" ht="18">
      <c r="A44" s="74"/>
      <c r="B44" s="74"/>
      <c r="C44" s="74"/>
      <c r="D44" s="74"/>
      <c r="E44" s="74"/>
      <c r="F44" s="74"/>
      <c r="G44" s="74"/>
      <c r="H44" s="74"/>
    </row>
  </sheetData>
  <mergeCells count="25">
    <mergeCell ref="A28:H29"/>
    <mergeCell ref="A21:A24"/>
    <mergeCell ref="B21:G22"/>
    <mergeCell ref="H21:H22"/>
    <mergeCell ref="A11:A14"/>
    <mergeCell ref="A16:A19"/>
    <mergeCell ref="H11:H12"/>
    <mergeCell ref="B16:G17"/>
    <mergeCell ref="B23:C24"/>
    <mergeCell ref="D23:H24"/>
    <mergeCell ref="B13:C14"/>
    <mergeCell ref="D13:H14"/>
    <mergeCell ref="B18:C19"/>
    <mergeCell ref="D18:H19"/>
    <mergeCell ref="H16:H17"/>
    <mergeCell ref="B11:G12"/>
    <mergeCell ref="A1:H1"/>
    <mergeCell ref="A2:H2"/>
    <mergeCell ref="A3:H3"/>
    <mergeCell ref="D4:F4"/>
    <mergeCell ref="A6:A9"/>
    <mergeCell ref="H6:H7"/>
    <mergeCell ref="B8:C9"/>
    <mergeCell ref="D8:H9"/>
    <mergeCell ref="B6:G7"/>
  </mergeCells>
  <phoneticPr fontId="12" type="noConversion"/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пр.взв.</vt:lpstr>
      <vt:lpstr>пр.хода</vt:lpstr>
      <vt:lpstr>круги</vt:lpstr>
      <vt:lpstr>полуфинал</vt:lpstr>
      <vt:lpstr>Итоговый</vt:lpstr>
      <vt:lpstr>СТАРТОВЫЙ</vt:lpstr>
      <vt:lpstr>нагр. лист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rafis</cp:lastModifiedBy>
  <cp:lastPrinted>2016-03-07T16:06:00Z</cp:lastPrinted>
  <dcterms:created xsi:type="dcterms:W3CDTF">1996-10-08T23:32:33Z</dcterms:created>
  <dcterms:modified xsi:type="dcterms:W3CDTF">2016-03-07T16:09:57Z</dcterms:modified>
</cp:coreProperties>
</file>