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<sst xmlns="http://schemas.openxmlformats.org/spreadsheetml/2006/main" count="168" uniqueCount="116">
  <si>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</si>
  <si>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</si>
  <si>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</si>
  <si>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</si>
  <si>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</si>
  <si>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</si>
  <si>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</si>
  <si>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</si>
  <si>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</si>
  <si>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</si>
  <si>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</si>
  <si>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</si>
  <si>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</si>
  <si>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</si>
  <si>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</si>
  <si>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</si>
  <si>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</si>
  <si>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</si>
  <si>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</si>
  <si>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</si>
  <si>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</si>
  <si>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</si>
  <si>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гл.судья:</t>
  </si>
  <si>
    <t>гл.секретарь:</t>
  </si>
  <si>
    <t>судьи:</t>
  </si>
  <si>
    <t>врач:</t>
  </si>
  <si>
    <t>16 участников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</si>
  <si>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</si>
  <si>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</si>
  <si>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</si>
  <si>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</si>
  <si>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</si>
  <si>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</si>
  <si>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</si>
  <si>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</si>
  <si>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</si>
  <si>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</si>
  <si>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</si>
  <si>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</si>
  <si>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</si>
  <si>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</si>
  <si>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</si>
  <si>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</si>
  <si>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</si>
  <si>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</si>
  <si>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</si>
  <si>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ГУСЕЙНОВ Артут Алаутдинович</t>
  </si>
  <si>
    <t>08.03.85, КМС</t>
  </si>
  <si>
    <t>С-П</t>
  </si>
  <si>
    <t>С-Петербург, МО</t>
  </si>
  <si>
    <t>Коршунов А.И.</t>
  </si>
  <si>
    <t>АЛИСКЕРОВ Икрам Сабирович</t>
  </si>
  <si>
    <t>07.12.92, МС</t>
  </si>
  <si>
    <t>ПФО</t>
  </si>
  <si>
    <t>Нижегородская, Кстово, ПР</t>
  </si>
  <si>
    <t>Эмирагаев Э.В., Фролов И.М.</t>
  </si>
  <si>
    <t>АЛИЕВ Султан Магомедбегович</t>
  </si>
  <si>
    <t>17.09.84, МСМК</t>
  </si>
  <si>
    <t>СКФО</t>
  </si>
  <si>
    <t>Р.Дагестан, Махачкала, ПР</t>
  </si>
  <si>
    <t>Булатов К.Х., Булатов Г.А.</t>
  </si>
  <si>
    <t>ГАДЖИЯСУЛОВ Магомед Рашидович</t>
  </si>
  <si>
    <t>04.11.93, КМС</t>
  </si>
  <si>
    <t>МОС</t>
  </si>
  <si>
    <t>Москва, ПР</t>
  </si>
  <si>
    <t>Елесин Н.А., Гаджиев К.А.</t>
  </si>
  <si>
    <t>ДЕМЕНТЬЕВ Владислав Алексеевич</t>
  </si>
  <si>
    <t>14.08.96, КМС</t>
  </si>
  <si>
    <t>С-Петербург, Д</t>
  </si>
  <si>
    <t>Алимов А.Г., Костин А.В.</t>
  </si>
  <si>
    <t>ИБРАГИМОВ Хадис Баширович</t>
  </si>
  <si>
    <t>21.05.95, КМС</t>
  </si>
  <si>
    <t>Давиденко И.А.</t>
  </si>
  <si>
    <t>КАРЛИН Николай Иванович</t>
  </si>
  <si>
    <t>14.07.87. КМС</t>
  </si>
  <si>
    <t>СФО</t>
  </si>
  <si>
    <t>Алтайский, Барнаул, МО</t>
  </si>
  <si>
    <t>Карлин Н.И.</t>
  </si>
  <si>
    <t>МАКСУТОВ Руслан Рифатович</t>
  </si>
  <si>
    <t>15.12.96, КМС</t>
  </si>
  <si>
    <t>ЯКУБЕНЯ Виталий Русланович</t>
  </si>
  <si>
    <t>21.03.95, КМС</t>
  </si>
  <si>
    <t>ГАЛЯМОВ Ктрилл Николаевич</t>
  </si>
  <si>
    <t>31.10.95, КМС</t>
  </si>
  <si>
    <t>УФО</t>
  </si>
  <si>
    <t>Челябинская, Челябинск</t>
  </si>
  <si>
    <t>Якупов Р.Т., Клочков С.Ю.</t>
  </si>
  <si>
    <t>ИВАНОВ Степан Сергеевич</t>
  </si>
  <si>
    <t>28.12.92, КМС</t>
  </si>
  <si>
    <t>ДВФО</t>
  </si>
  <si>
    <t>Хабаровский, Хабаровск, ПР</t>
  </si>
  <si>
    <t>Куликов И.В.</t>
  </si>
  <si>
    <t>УДОВИЧЕНКО Михаил Владимирович</t>
  </si>
  <si>
    <t>02.09.95, МС</t>
  </si>
  <si>
    <t>Попов Д.В., Дамдинуурдинов В.А.</t>
  </si>
  <si>
    <t>КУДРЯШОВ Юрий Евгеньевич</t>
  </si>
  <si>
    <t>14.10.88, КМС</t>
  </si>
  <si>
    <t>СЗФО</t>
  </si>
  <si>
    <t>Вологодская</t>
  </si>
  <si>
    <t>Тчанников А.Н.</t>
  </si>
  <si>
    <t>ВОЛЬСКИЙ Руслан Дмитриевич</t>
  </si>
  <si>
    <t>27.09.92, МС</t>
  </si>
  <si>
    <t>Вольскийт Д.К.</t>
  </si>
  <si>
    <t>САИДОВ Саид Магомедович</t>
  </si>
  <si>
    <t>24.08.94, КМС</t>
  </si>
  <si>
    <t>Ибрагимов А.Д.</t>
  </si>
  <si>
    <t>ЛЫЧКОВСКИЙ Дмитрий Олегович</t>
  </si>
  <si>
    <t>20.06..94, КМС</t>
  </si>
  <si>
    <t>Красноярский, Красноярск. МО</t>
  </si>
  <si>
    <t>Многогрешнов Н.Г.Знаменский ГВ</t>
  </si>
  <si>
    <t>в.к. 90  кг.</t>
  </si>
  <si>
    <t>4:0</t>
  </si>
  <si>
    <t>3:0</t>
  </si>
  <si>
    <t>3:1</t>
  </si>
  <si>
    <t>4:0(н)</t>
  </si>
  <si>
    <t>Горохов А.В., Давиденко И.А.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</si>
</sst>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i/>
      <sz val="10"/>
      <name val="Arial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 Narrow"/>
      <family val="2"/>
    </font>
    <font>
      <b/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42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10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7" fillId="0" borderId="10" xfId="0" applyFont="1" applyBorder="1" applyAlignment="1" applyProtection="1">
      <alignment horizontal="center"/>
      <protection hidden="1" locked="0"/>
    </xf>
    <xf numFmtId="0" fontId="57" fillId="0" borderId="11" xfId="0" applyNumberFormat="1" applyFont="1" applyFill="1" applyBorder="1" applyAlignment="1" applyProtection="1">
      <alignment horizontal="center"/>
      <protection hidden="1" locked="0"/>
    </xf>
    <xf numFmtId="0" fontId="57" fillId="33" borderId="11" xfId="0" applyNumberFormat="1" applyFont="1" applyFill="1" applyBorder="1" applyAlignment="1" applyProtection="1">
      <alignment horizontal="center"/>
      <protection hidden="1" locked="0"/>
    </xf>
    <xf numFmtId="0" fontId="57" fillId="0" borderId="12" xfId="0" applyFont="1" applyBorder="1" applyAlignment="1" applyProtection="1">
      <alignment horizontal="center"/>
      <protection hidden="1" locked="0"/>
    </xf>
    <xf numFmtId="0" fontId="57" fillId="0" borderId="13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vertical="center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42" applyFont="1" applyAlignment="1" applyProtection="1">
      <alignment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34" borderId="0" xfId="0" applyFont="1" applyFill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2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6" fillId="0" borderId="27" xfId="0" applyFont="1" applyBorder="1" applyAlignment="1">
      <alignment horizontal="left" vertical="center" wrapText="1"/>
    </xf>
    <xf numFmtId="0" fontId="5" fillId="33" borderId="27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6" fillId="0" borderId="15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35" borderId="43" xfId="42" applyFont="1" applyFill="1" applyBorder="1" applyAlignment="1" applyProtection="1">
      <alignment horizontal="center" vertical="center"/>
      <protection locked="0"/>
    </xf>
    <xf numFmtId="0" fontId="5" fillId="35" borderId="44" xfId="42" applyFont="1" applyFill="1" applyBorder="1" applyAlignment="1" applyProtection="1">
      <alignment horizontal="center" vertical="center"/>
      <protection locked="0"/>
    </xf>
    <xf numFmtId="0" fontId="5" fillId="35" borderId="45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43" xfId="42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6" fillId="0" borderId="34" xfId="42" applyFont="1" applyBorder="1" applyAlignment="1" applyProtection="1">
      <alignment horizontal="left" vertical="center" wrapText="1"/>
      <protection locked="0"/>
    </xf>
    <xf numFmtId="0" fontId="6" fillId="0" borderId="16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7" xfId="42" applyFont="1" applyBorder="1" applyAlignment="1" applyProtection="1">
      <alignment horizontal="center" vertical="center" wrapText="1"/>
      <protection locked="0"/>
    </xf>
    <xf numFmtId="0" fontId="6" fillId="0" borderId="48" xfId="42" applyFont="1" applyBorder="1" applyAlignment="1" applyProtection="1">
      <alignment horizontal="center" vertical="center" wrapText="1"/>
      <protection locked="0"/>
    </xf>
    <xf numFmtId="0" fontId="6" fillId="0" borderId="51" xfId="42" applyFont="1" applyBorder="1" applyAlignment="1" applyProtection="1">
      <alignment horizontal="center" vertical="center" wrapText="1"/>
      <protection locked="0"/>
    </xf>
    <xf numFmtId="0" fontId="6" fillId="0" borderId="24" xfId="42" applyFont="1" applyBorder="1" applyAlignment="1" applyProtection="1">
      <alignment horizontal="center" vertical="center" wrapText="1"/>
      <protection locked="0"/>
    </xf>
    <xf numFmtId="0" fontId="6" fillId="0" borderId="52" xfId="42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6" fillId="0" borderId="13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61" xfId="42" applyFont="1" applyBorder="1" applyAlignment="1" applyProtection="1">
      <alignment horizontal="center" vertical="center" wrapText="1"/>
      <protection locked="0"/>
    </xf>
    <xf numFmtId="0" fontId="6" fillId="0" borderId="49" xfId="42" applyFont="1" applyBorder="1" applyAlignment="1" applyProtection="1">
      <alignment horizontal="center" vertical="center" wrapText="1"/>
      <protection locked="0"/>
    </xf>
    <xf numFmtId="0" fontId="6" fillId="0" borderId="14" xfId="42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0" fontId="7" fillId="0" borderId="65" xfId="0" applyNumberFormat="1" applyFont="1" applyBorder="1" applyAlignment="1" applyProtection="1">
      <alignment horizontal="center" vertical="center" wrapText="1"/>
      <protection locked="0"/>
    </xf>
    <xf numFmtId="0" fontId="7" fillId="0" borderId="66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 applyProtection="1">
      <alignment horizontal="center" vertical="center" wrapText="1"/>
      <protection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0" fontId="10" fillId="35" borderId="43" xfId="42" applyFont="1" applyFill="1" applyBorder="1" applyAlignment="1" applyProtection="1">
      <alignment horizontal="center" vertical="center" wrapText="1"/>
      <protection/>
    </xf>
    <xf numFmtId="0" fontId="10" fillId="35" borderId="44" xfId="42" applyFont="1" applyFill="1" applyBorder="1" applyAlignment="1" applyProtection="1">
      <alignment horizontal="center" vertical="center" wrapText="1"/>
      <protection/>
    </xf>
    <xf numFmtId="0" fontId="10" fillId="35" borderId="45" xfId="42" applyFont="1" applyFill="1" applyBorder="1" applyAlignment="1" applyProtection="1">
      <alignment horizontal="center" vertical="center" wrapText="1"/>
      <protection/>
    </xf>
    <xf numFmtId="0" fontId="0" fillId="0" borderId="14" xfId="42" applyFont="1" applyBorder="1" applyAlignment="1" applyProtection="1">
      <alignment horizontal="center" vertical="center"/>
      <protection/>
    </xf>
    <xf numFmtId="0" fontId="6" fillId="0" borderId="7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58" fillId="0" borderId="28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  <xf numFmtId="0" fontId="58" fillId="0" borderId="74" xfId="0" applyNumberFormat="1" applyFont="1" applyBorder="1" applyAlignment="1">
      <alignment horizontal="center" vertical="center" wrapText="1"/>
    </xf>
    <xf numFmtId="0" fontId="6" fillId="0" borderId="68" xfId="42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58" fillId="0" borderId="72" xfId="0" applyNumberFormat="1" applyFont="1" applyBorder="1" applyAlignment="1">
      <alignment horizontal="center" vertical="center" wrapText="1"/>
    </xf>
    <xf numFmtId="0" fontId="6" fillId="0" borderId="70" xfId="42" applyFont="1" applyFill="1" applyBorder="1" applyAlignment="1" applyProtection="1">
      <alignment horizontal="center" vertical="center" wrapText="1"/>
      <protection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15" xfId="0" applyFont="1" applyBorder="1" applyAlignment="1" applyProtection="1">
      <alignment vertical="center" textRotation="90" wrapText="1"/>
      <protection/>
    </xf>
    <xf numFmtId="0" fontId="60" fillId="0" borderId="15" xfId="0" applyFont="1" applyBorder="1" applyAlignment="1" applyProtection="1">
      <alignment horizontal="center" vertical="center" wrapText="1"/>
      <protection/>
    </xf>
    <xf numFmtId="0" fontId="61" fillId="36" borderId="85" xfId="0" applyFont="1" applyFill="1" applyBorder="1" applyAlignment="1" applyProtection="1">
      <alignment horizontal="center" vertical="center"/>
      <protection hidden="1" locked="0"/>
    </xf>
    <xf numFmtId="0" fontId="61" fillId="36" borderId="86" xfId="0" applyFont="1" applyFill="1" applyBorder="1" applyAlignment="1" applyProtection="1">
      <alignment horizontal="center" vertical="center"/>
      <protection hidden="1" locked="0"/>
    </xf>
    <xf numFmtId="0" fontId="61" fillId="36" borderId="87" xfId="0" applyFont="1" applyFill="1" applyBorder="1" applyAlignment="1" applyProtection="1">
      <alignment horizontal="center" vertical="center"/>
      <protection hidden="1" locked="0"/>
    </xf>
    <xf numFmtId="0" fontId="60" fillId="0" borderId="15" xfId="0" applyFont="1" applyBorder="1" applyAlignment="1" applyProtection="1">
      <alignment horizontal="center" vertical="center" textRotation="90" wrapText="1"/>
      <protection/>
    </xf>
    <xf numFmtId="0" fontId="60" fillId="0" borderId="16" xfId="0" applyFont="1" applyBorder="1" applyAlignment="1" applyProtection="1">
      <alignment vertical="center" textRotation="90" wrapText="1"/>
      <protection/>
    </xf>
    <xf numFmtId="0" fontId="60" fillId="0" borderId="16" xfId="0" applyFont="1" applyBorder="1" applyAlignment="1" applyProtection="1">
      <alignment horizontal="center" vertical="center" wrapText="1"/>
      <protection/>
    </xf>
    <xf numFmtId="0" fontId="61" fillId="0" borderId="83" xfId="0" applyFont="1" applyFill="1" applyBorder="1" applyAlignment="1" applyProtection="1">
      <alignment horizontal="center" vertical="center"/>
      <protection locked="0"/>
    </xf>
    <xf numFmtId="0" fontId="61" fillId="0" borderId="72" xfId="0" applyFont="1" applyFill="1" applyBorder="1" applyAlignment="1" applyProtection="1">
      <alignment horizontal="center" vertical="center"/>
      <protection locked="0"/>
    </xf>
    <xf numFmtId="0" fontId="61" fillId="0" borderId="75" xfId="0" applyFont="1" applyFill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textRotation="90" wrapText="1"/>
      <protection/>
    </xf>
    <xf numFmtId="0" fontId="57" fillId="0" borderId="30" xfId="0" applyFont="1" applyBorder="1" applyAlignment="1" applyProtection="1">
      <alignment horizontal="center"/>
      <protection hidden="1" locked="0"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Fill="1" applyBorder="1" applyAlignment="1">
      <alignment/>
    </xf>
    <xf numFmtId="0" fontId="61" fillId="35" borderId="85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104775</xdr:colOff>
      <xdr:row>0</xdr:row>
      <xdr:rowOff>257175</xdr:rowOff>
    </xdr:from>
    <xdr:to>
      <xdr:col>19</xdr:col>
      <xdr:colOff>552450</xdr:colOff>
      <xdr:row>2</xdr:row>
      <xdr:rowOff>171450</xdr:rowOff>
    </xdr:to>
    <xdr:pic>
      <xdr:nvPicPr>
        <xdr:cNvPr id="3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2571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2</xdr:col>
      <xdr:colOff>85725</xdr:colOff>
      <xdr:row>0</xdr:row>
      <xdr:rowOff>695325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285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476250</xdr:colOff>
      <xdr:row>0</xdr:row>
      <xdr:rowOff>685800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9-12 февраля 2016.                                                         г.Петрозаводск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  <cell r="G8" t="str">
            <v>/г.Дубна/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25">
      <selection activeCell="I26" sqref="I26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24" t="s">
        <v>15</v>
      </c>
      <c r="B1" s="124"/>
      <c r="C1" s="124"/>
      <c r="D1" s="124"/>
      <c r="E1" s="124"/>
      <c r="F1" s="124"/>
      <c r="G1" s="124"/>
      <c r="H1" s="124"/>
    </row>
    <row r="2" spans="1:16" ht="29.25" customHeight="1">
      <c r="A2" s="123" t="str">
        <f>HYPERLINK('[1]реквизиты'!$A$2)</f>
        <v>Чемпионат России по БОЕВОМУ САМБО </v>
      </c>
      <c r="B2" s="123"/>
      <c r="C2" s="123"/>
      <c r="D2" s="123"/>
      <c r="E2" s="123"/>
      <c r="F2" s="123"/>
      <c r="G2" s="123"/>
      <c r="H2" s="123"/>
      <c r="I2" s="61"/>
      <c r="J2" s="61"/>
      <c r="K2" s="61"/>
      <c r="L2" s="61"/>
      <c r="M2" s="61"/>
      <c r="N2" s="61"/>
      <c r="O2" s="61"/>
      <c r="P2" s="61"/>
    </row>
    <row r="3" spans="1:7" ht="12.75" customHeight="1">
      <c r="A3" s="143" t="str">
        <f>HYPERLINK('[1]реквизиты'!$A$3)</f>
        <v>9-12 февраля 2016.                                                         г.Петрозаводск</v>
      </c>
      <c r="B3" s="143"/>
      <c r="C3" s="143"/>
      <c r="D3" s="143"/>
      <c r="E3" s="143"/>
      <c r="F3" s="143"/>
      <c r="G3" s="143"/>
    </row>
    <row r="4" spans="4:5" ht="12.75" customHeight="1">
      <c r="D4" s="141" t="s">
        <v>110</v>
      </c>
      <c r="E4" s="142"/>
    </row>
    <row r="5" spans="1:8" ht="12.75" customHeight="1">
      <c r="A5" s="136" t="s">
        <v>9</v>
      </c>
      <c r="B5" s="156" t="s">
        <v>4</v>
      </c>
      <c r="C5" s="136" t="s">
        <v>5</v>
      </c>
      <c r="D5" s="136" t="s">
        <v>6</v>
      </c>
      <c r="E5" s="132" t="s">
        <v>7</v>
      </c>
      <c r="F5" s="133"/>
      <c r="G5" s="136" t="s">
        <v>10</v>
      </c>
      <c r="H5" s="136" t="s">
        <v>8</v>
      </c>
    </row>
    <row r="6" spans="1:8" ht="12.75">
      <c r="A6" s="137"/>
      <c r="B6" s="157"/>
      <c r="C6" s="137"/>
      <c r="D6" s="137"/>
      <c r="E6" s="134"/>
      <c r="F6" s="135"/>
      <c r="G6" s="137"/>
      <c r="H6" s="137"/>
    </row>
    <row r="7" spans="1:8" ht="12.75" customHeight="1">
      <c r="A7" s="148">
        <v>1</v>
      </c>
      <c r="B7" s="150">
        <v>1</v>
      </c>
      <c r="C7" s="122" t="s">
        <v>95</v>
      </c>
      <c r="D7" s="139" t="s">
        <v>96</v>
      </c>
      <c r="E7" s="144" t="s">
        <v>97</v>
      </c>
      <c r="F7" s="140" t="s">
        <v>98</v>
      </c>
      <c r="G7" s="138"/>
      <c r="H7" s="122" t="s">
        <v>99</v>
      </c>
    </row>
    <row r="8" spans="1:8" ht="12.75" customHeight="1">
      <c r="A8" s="149"/>
      <c r="B8" s="150"/>
      <c r="C8" s="122"/>
      <c r="D8" s="139"/>
      <c r="E8" s="144"/>
      <c r="F8" s="140"/>
      <c r="G8" s="138"/>
      <c r="H8" s="122"/>
    </row>
    <row r="9" spans="1:8" ht="12.75" customHeight="1">
      <c r="A9" s="148">
        <v>2</v>
      </c>
      <c r="B9" s="150">
        <v>2</v>
      </c>
      <c r="C9" s="122" t="s">
        <v>82</v>
      </c>
      <c r="D9" s="139" t="s">
        <v>83</v>
      </c>
      <c r="E9" s="139" t="s">
        <v>84</v>
      </c>
      <c r="F9" s="140" t="s">
        <v>85</v>
      </c>
      <c r="G9" s="138"/>
      <c r="H9" s="122" t="s">
        <v>86</v>
      </c>
    </row>
    <row r="10" spans="1:8" ht="15" customHeight="1">
      <c r="A10" s="149"/>
      <c r="B10" s="150"/>
      <c r="C10" s="122"/>
      <c r="D10" s="139"/>
      <c r="E10" s="139"/>
      <c r="F10" s="140"/>
      <c r="G10" s="138"/>
      <c r="H10" s="122"/>
    </row>
    <row r="11" spans="1:8" ht="12.75" customHeight="1">
      <c r="A11" s="148">
        <v>3</v>
      </c>
      <c r="B11" s="150">
        <v>3</v>
      </c>
      <c r="C11" s="122" t="s">
        <v>73</v>
      </c>
      <c r="D11" s="158" t="s">
        <v>74</v>
      </c>
      <c r="E11" s="147" t="s">
        <v>75</v>
      </c>
      <c r="F11" s="122" t="s">
        <v>76</v>
      </c>
      <c r="G11" s="138"/>
      <c r="H11" s="122" t="s">
        <v>77</v>
      </c>
    </row>
    <row r="12" spans="1:8" ht="15" customHeight="1">
      <c r="A12" s="149"/>
      <c r="B12" s="150"/>
      <c r="C12" s="122"/>
      <c r="D12" s="139"/>
      <c r="E12" s="147"/>
      <c r="F12" s="122"/>
      <c r="G12" s="138"/>
      <c r="H12" s="122"/>
    </row>
    <row r="13" spans="1:8" ht="15" customHeight="1">
      <c r="A13" s="148">
        <v>4</v>
      </c>
      <c r="B13" s="150">
        <v>4</v>
      </c>
      <c r="C13" s="130" t="s">
        <v>51</v>
      </c>
      <c r="D13" s="147" t="s">
        <v>52</v>
      </c>
      <c r="E13" s="147" t="s">
        <v>53</v>
      </c>
      <c r="F13" s="147" t="s">
        <v>54</v>
      </c>
      <c r="G13" s="155"/>
      <c r="H13" s="130" t="s">
        <v>55</v>
      </c>
    </row>
    <row r="14" spans="1:8" ht="15.75" customHeight="1">
      <c r="A14" s="149"/>
      <c r="B14" s="150"/>
      <c r="C14" s="130"/>
      <c r="D14" s="147"/>
      <c r="E14" s="147"/>
      <c r="F14" s="147"/>
      <c r="G14" s="155"/>
      <c r="H14" s="130"/>
    </row>
    <row r="15" spans="1:8" ht="12.75" customHeight="1">
      <c r="A15" s="148">
        <v>5</v>
      </c>
      <c r="B15" s="150">
        <v>5</v>
      </c>
      <c r="C15" s="130" t="s">
        <v>80</v>
      </c>
      <c r="D15" s="147" t="s">
        <v>81</v>
      </c>
      <c r="E15" s="145" t="s">
        <v>48</v>
      </c>
      <c r="F15" s="125" t="s">
        <v>49</v>
      </c>
      <c r="G15" s="138"/>
      <c r="H15" s="122" t="s">
        <v>50</v>
      </c>
    </row>
    <row r="16" spans="1:8" ht="15" customHeight="1">
      <c r="A16" s="149"/>
      <c r="B16" s="150"/>
      <c r="C16" s="130"/>
      <c r="D16" s="147"/>
      <c r="E16" s="145"/>
      <c r="F16" s="125"/>
      <c r="G16" s="138"/>
      <c r="H16" s="131"/>
    </row>
    <row r="17" spans="1:8" ht="12.75" customHeight="1">
      <c r="A17" s="148">
        <v>6</v>
      </c>
      <c r="B17" s="150">
        <v>6</v>
      </c>
      <c r="C17" s="129" t="s">
        <v>46</v>
      </c>
      <c r="D17" s="153" t="s">
        <v>47</v>
      </c>
      <c r="E17" s="145" t="s">
        <v>48</v>
      </c>
      <c r="F17" s="125" t="s">
        <v>49</v>
      </c>
      <c r="G17" s="138"/>
      <c r="H17" s="122" t="s">
        <v>50</v>
      </c>
    </row>
    <row r="18" spans="1:8" ht="15" customHeight="1">
      <c r="A18" s="149"/>
      <c r="B18" s="150"/>
      <c r="C18" s="129"/>
      <c r="D18" s="153"/>
      <c r="E18" s="145"/>
      <c r="F18" s="125"/>
      <c r="G18" s="138"/>
      <c r="H18" s="131"/>
    </row>
    <row r="19" spans="1:8" ht="12.75" customHeight="1">
      <c r="A19" s="148">
        <v>7</v>
      </c>
      <c r="B19" s="148">
        <v>7</v>
      </c>
      <c r="C19" s="128" t="s">
        <v>70</v>
      </c>
      <c r="D19" s="144" t="s">
        <v>71</v>
      </c>
      <c r="E19" s="145" t="s">
        <v>48</v>
      </c>
      <c r="F19" s="125" t="s">
        <v>49</v>
      </c>
      <c r="G19" s="125"/>
      <c r="H19" s="125" t="s">
        <v>115</v>
      </c>
    </row>
    <row r="20" spans="1:8" ht="15" customHeight="1">
      <c r="A20" s="149"/>
      <c r="B20" s="148"/>
      <c r="C20" s="128"/>
      <c r="D20" s="144"/>
      <c r="E20" s="145"/>
      <c r="F20" s="125"/>
      <c r="G20" s="125"/>
      <c r="H20" s="125"/>
    </row>
    <row r="21" spans="1:8" ht="12.75" customHeight="1">
      <c r="A21" s="148">
        <v>8</v>
      </c>
      <c r="B21" s="148">
        <v>8</v>
      </c>
      <c r="C21" s="130" t="s">
        <v>66</v>
      </c>
      <c r="D21" s="147" t="s">
        <v>67</v>
      </c>
      <c r="E21" s="145" t="s">
        <v>48</v>
      </c>
      <c r="F21" s="125" t="s">
        <v>68</v>
      </c>
      <c r="G21" s="138"/>
      <c r="H21" s="122" t="s">
        <v>69</v>
      </c>
    </row>
    <row r="22" spans="1:8" ht="15" customHeight="1">
      <c r="A22" s="149"/>
      <c r="B22" s="148"/>
      <c r="C22" s="130"/>
      <c r="D22" s="147"/>
      <c r="E22" s="145"/>
      <c r="F22" s="125"/>
      <c r="G22" s="138"/>
      <c r="H22" s="122"/>
    </row>
    <row r="23" spans="1:8" ht="12.75" customHeight="1">
      <c r="A23" s="148">
        <v>9</v>
      </c>
      <c r="B23" s="148">
        <v>9</v>
      </c>
      <c r="C23" s="128" t="s">
        <v>87</v>
      </c>
      <c r="D23" s="144" t="s">
        <v>88</v>
      </c>
      <c r="E23" s="144" t="s">
        <v>89</v>
      </c>
      <c r="F23" s="144" t="s">
        <v>90</v>
      </c>
      <c r="G23" s="144"/>
      <c r="H23" s="128" t="s">
        <v>91</v>
      </c>
    </row>
    <row r="24" spans="1:8" ht="15" customHeight="1">
      <c r="A24" s="149"/>
      <c r="B24" s="148"/>
      <c r="C24" s="128"/>
      <c r="D24" s="144"/>
      <c r="E24" s="144"/>
      <c r="F24" s="144"/>
      <c r="G24" s="144"/>
      <c r="H24" s="128"/>
    </row>
    <row r="25" spans="1:8" ht="12.75" customHeight="1">
      <c r="A25" s="148">
        <v>10</v>
      </c>
      <c r="B25" s="154">
        <v>10</v>
      </c>
      <c r="C25" s="125" t="s">
        <v>92</v>
      </c>
      <c r="D25" s="145" t="s">
        <v>93</v>
      </c>
      <c r="E25" s="122" t="s">
        <v>63</v>
      </c>
      <c r="F25" s="122" t="s">
        <v>64</v>
      </c>
      <c r="G25" s="125"/>
      <c r="H25" s="129" t="s">
        <v>94</v>
      </c>
    </row>
    <row r="26" spans="1:8" ht="15" customHeight="1">
      <c r="A26" s="149"/>
      <c r="B26" s="154"/>
      <c r="C26" s="125"/>
      <c r="D26" s="145"/>
      <c r="E26" s="122"/>
      <c r="F26" s="122"/>
      <c r="G26" s="125"/>
      <c r="H26" s="129"/>
    </row>
    <row r="27" spans="1:8" ht="12.75" customHeight="1">
      <c r="A27" s="148">
        <v>11</v>
      </c>
      <c r="B27" s="150">
        <v>11</v>
      </c>
      <c r="C27" s="129" t="s">
        <v>78</v>
      </c>
      <c r="D27" s="152" t="s">
        <v>79</v>
      </c>
      <c r="E27" s="145" t="s">
        <v>48</v>
      </c>
      <c r="F27" s="125" t="s">
        <v>49</v>
      </c>
      <c r="G27" s="125"/>
      <c r="H27" s="125" t="s">
        <v>72</v>
      </c>
    </row>
    <row r="28" spans="1:8" ht="15" customHeight="1">
      <c r="A28" s="149"/>
      <c r="B28" s="150"/>
      <c r="C28" s="129"/>
      <c r="D28" s="153"/>
      <c r="E28" s="145"/>
      <c r="F28" s="125"/>
      <c r="G28" s="125"/>
      <c r="H28" s="125"/>
    </row>
    <row r="29" spans="1:8" ht="12.75" customHeight="1">
      <c r="A29" s="148">
        <v>12</v>
      </c>
      <c r="B29" s="150">
        <v>12</v>
      </c>
      <c r="C29" s="122" t="s">
        <v>106</v>
      </c>
      <c r="D29" s="139" t="s">
        <v>107</v>
      </c>
      <c r="E29" s="147" t="s">
        <v>75</v>
      </c>
      <c r="F29" s="126" t="s">
        <v>108</v>
      </c>
      <c r="G29" s="138"/>
      <c r="H29" s="126" t="s">
        <v>109</v>
      </c>
    </row>
    <row r="30" spans="1:8" ht="15" customHeight="1">
      <c r="A30" s="149"/>
      <c r="B30" s="150"/>
      <c r="C30" s="122"/>
      <c r="D30" s="139"/>
      <c r="E30" s="147"/>
      <c r="F30" s="127"/>
      <c r="G30" s="138"/>
      <c r="H30" s="127"/>
    </row>
    <row r="31" spans="1:8" ht="15.75" customHeight="1">
      <c r="A31" s="148">
        <v>13</v>
      </c>
      <c r="B31" s="151">
        <v>13</v>
      </c>
      <c r="C31" s="128" t="s">
        <v>56</v>
      </c>
      <c r="D31" s="144" t="s">
        <v>57</v>
      </c>
      <c r="E31" s="144" t="s">
        <v>58</v>
      </c>
      <c r="F31" s="128" t="s">
        <v>59</v>
      </c>
      <c r="G31" s="144"/>
      <c r="H31" s="128" t="s">
        <v>60</v>
      </c>
    </row>
    <row r="32" spans="1:8" ht="15" customHeight="1">
      <c r="A32" s="149"/>
      <c r="B32" s="151"/>
      <c r="C32" s="128"/>
      <c r="D32" s="144"/>
      <c r="E32" s="144"/>
      <c r="F32" s="128"/>
      <c r="G32" s="144"/>
      <c r="H32" s="128"/>
    </row>
    <row r="33" spans="1:8" ht="12.75" customHeight="1">
      <c r="A33" s="148">
        <v>14</v>
      </c>
      <c r="B33" s="151">
        <v>14</v>
      </c>
      <c r="C33" s="130" t="s">
        <v>103</v>
      </c>
      <c r="D33" s="147" t="s">
        <v>104</v>
      </c>
      <c r="E33" s="145" t="s">
        <v>58</v>
      </c>
      <c r="F33" s="129" t="s">
        <v>59</v>
      </c>
      <c r="G33" s="146"/>
      <c r="H33" s="128" t="s">
        <v>105</v>
      </c>
    </row>
    <row r="34" spans="1:8" ht="15" customHeight="1">
      <c r="A34" s="149"/>
      <c r="B34" s="151"/>
      <c r="C34" s="130"/>
      <c r="D34" s="147"/>
      <c r="E34" s="145"/>
      <c r="F34" s="129"/>
      <c r="G34" s="146"/>
      <c r="H34" s="128"/>
    </row>
    <row r="35" spans="1:8" ht="12.75">
      <c r="A35" s="148">
        <v>15</v>
      </c>
      <c r="B35" s="150">
        <v>15</v>
      </c>
      <c r="C35" s="122" t="s">
        <v>61</v>
      </c>
      <c r="D35" s="139" t="s">
        <v>62</v>
      </c>
      <c r="E35" s="147" t="s">
        <v>63</v>
      </c>
      <c r="F35" s="130" t="s">
        <v>64</v>
      </c>
      <c r="G35" s="138"/>
      <c r="H35" s="122" t="s">
        <v>65</v>
      </c>
    </row>
    <row r="36" spans="1:8" ht="15" customHeight="1">
      <c r="A36" s="149"/>
      <c r="B36" s="150"/>
      <c r="C36" s="122"/>
      <c r="D36" s="139"/>
      <c r="E36" s="147"/>
      <c r="F36" s="130"/>
      <c r="G36" s="138"/>
      <c r="H36" s="122"/>
    </row>
    <row r="37" spans="1:8" ht="12.75" customHeight="1">
      <c r="A37" s="148">
        <v>16</v>
      </c>
      <c r="B37" s="150">
        <v>16</v>
      </c>
      <c r="C37" s="122" t="s">
        <v>100</v>
      </c>
      <c r="D37" s="139" t="s">
        <v>101</v>
      </c>
      <c r="E37" s="144" t="s">
        <v>97</v>
      </c>
      <c r="F37" s="140" t="s">
        <v>98</v>
      </c>
      <c r="G37" s="138"/>
      <c r="H37" s="122" t="s">
        <v>102</v>
      </c>
    </row>
    <row r="38" spans="1:8" ht="15" customHeight="1">
      <c r="A38" s="149"/>
      <c r="B38" s="150"/>
      <c r="C38" s="122"/>
      <c r="D38" s="139"/>
      <c r="E38" s="144"/>
      <c r="F38" s="140"/>
      <c r="G38" s="138"/>
      <c r="H38" s="122"/>
    </row>
    <row r="39" ht="15.75" customHeight="1"/>
    <row r="41" spans="1:6" ht="12.75">
      <c r="A41" s="16" t="s">
        <v>22</v>
      </c>
      <c r="C41" s="3"/>
      <c r="D41" s="3"/>
      <c r="E41" s="4">
        <f>HYPERLINK('[1]реквизиты'!$G$20)</f>
      </c>
      <c r="F41" s="5">
        <f>HYPERLINK('[1]реквизиты'!$G$21)</f>
      </c>
    </row>
    <row r="42" spans="3:5" ht="12.75">
      <c r="C42" s="3"/>
      <c r="D42" s="3"/>
      <c r="E42" s="1"/>
    </row>
    <row r="43" spans="1:6" ht="12.75">
      <c r="A43" s="16" t="s">
        <v>23</v>
      </c>
      <c r="C43" s="3"/>
      <c r="D43" s="3"/>
      <c r="E43" s="4">
        <f>HYPERLINK('[1]реквизиты'!$G$22)</f>
      </c>
      <c r="F43" s="6">
        <f>HYPERLINK('[1]реквизиты'!$G$23)</f>
      </c>
    </row>
    <row r="44" spans="3:5" ht="12.75">
      <c r="C44" s="3"/>
      <c r="D44" s="3"/>
      <c r="E44" s="1"/>
    </row>
    <row r="45" ht="12.75">
      <c r="A45" s="16" t="s">
        <v>24</v>
      </c>
    </row>
    <row r="49" ht="12.75">
      <c r="A49" s="16" t="s">
        <v>25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25"/>
      <c r="W1" s="25"/>
      <c r="X1" s="26"/>
      <c r="Y1" s="25"/>
      <c r="Z1" s="25"/>
      <c r="AA1" s="25"/>
      <c r="AB1" s="25"/>
    </row>
    <row r="2" spans="1:28" ht="27.75" customHeight="1" thickBot="1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25"/>
      <c r="W2" s="25"/>
      <c r="X2" s="26"/>
      <c r="Y2" s="25"/>
      <c r="Z2" s="25"/>
      <c r="AA2" s="25"/>
      <c r="AB2" s="25"/>
    </row>
    <row r="3" spans="1:28" ht="33" customHeight="1" thickBot="1">
      <c r="A3" s="25"/>
      <c r="B3" s="25"/>
      <c r="C3" s="185" t="str">
        <f>HYPERLINK('[1]реквизиты'!$A$2)</f>
        <v>Чемпионат России по БОЕВОМУ САМБО 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7"/>
      <c r="S3" s="25"/>
      <c r="T3" s="25"/>
      <c r="U3" s="25"/>
      <c r="V3" s="25"/>
      <c r="W3" s="25"/>
      <c r="X3" s="26"/>
      <c r="Y3" s="25"/>
      <c r="Z3" s="25"/>
      <c r="AA3" s="25"/>
      <c r="AB3" s="25"/>
    </row>
    <row r="4" spans="1:28" ht="15.75" customHeight="1" thickBot="1">
      <c r="A4" s="27"/>
      <c r="B4" s="27"/>
      <c r="C4" s="188" t="str">
        <f>HYPERLINK('[1]реквизиты'!$A$3)</f>
        <v>9-12 февраля 2016.                                                         г.Петрозаводск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27"/>
      <c r="T4" s="25"/>
      <c r="U4" s="25"/>
      <c r="V4" s="25"/>
      <c r="W4" s="25"/>
      <c r="X4" s="26"/>
      <c r="Y4" s="25"/>
      <c r="Z4" s="25"/>
      <c r="AA4" s="25"/>
      <c r="AB4" s="25"/>
    </row>
    <row r="5" spans="1:28" s="16" customFormat="1" ht="20.25" customHeight="1" thickBot="1">
      <c r="A5" s="62"/>
      <c r="B5" s="62"/>
      <c r="C5" s="62"/>
      <c r="D5" s="62"/>
      <c r="E5" s="62"/>
      <c r="F5" s="62"/>
      <c r="G5" s="62"/>
      <c r="H5" s="62"/>
      <c r="I5" s="28"/>
      <c r="J5" s="189" t="str">
        <f>HYPERLINK('пр.взв.'!D4)</f>
        <v>в.к. 90  кг.</v>
      </c>
      <c r="K5" s="190"/>
      <c r="L5" s="191"/>
      <c r="M5" s="192" t="s">
        <v>26</v>
      </c>
      <c r="N5" s="193"/>
      <c r="O5" s="194"/>
      <c r="P5" s="62"/>
      <c r="Q5" s="62"/>
      <c r="R5" s="62"/>
      <c r="S5" s="62"/>
      <c r="T5" s="62"/>
      <c r="U5" s="62"/>
      <c r="V5" s="62"/>
      <c r="W5" s="63"/>
      <c r="X5" s="64"/>
      <c r="Y5" s="64"/>
      <c r="Z5" s="64"/>
      <c r="AA5" s="65"/>
      <c r="AB5" s="65"/>
    </row>
    <row r="6" spans="1:28" s="16" customFormat="1" ht="18" customHeight="1" thickBot="1">
      <c r="A6" s="184" t="s">
        <v>0</v>
      </c>
      <c r="B6" s="184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31"/>
      <c r="S6" s="31"/>
      <c r="T6" s="62"/>
      <c r="U6" s="31" t="s">
        <v>1</v>
      </c>
      <c r="V6" s="62"/>
      <c r="W6" s="66"/>
      <c r="X6" s="67"/>
      <c r="Y6" s="67"/>
      <c r="Z6" s="64"/>
      <c r="AA6" s="65"/>
      <c r="AB6" s="65"/>
    </row>
    <row r="7" spans="1:29" s="16" customFormat="1" ht="12.75" customHeight="1" thickBot="1">
      <c r="A7" s="164">
        <v>1</v>
      </c>
      <c r="B7" s="166" t="str">
        <f>VLOOKUP(A7,'пр.взв.'!B7:C38,2,FALSE)</f>
        <v>КУДРЯШОВ Юрий Евгеньевич</v>
      </c>
      <c r="C7" s="166" t="str">
        <f>VLOOKUP(A7,'пр.взв.'!B7:F38,3,FALSE)</f>
        <v>14.10.88, КМС</v>
      </c>
      <c r="D7" s="166" t="str">
        <f>VLOOKUP(A7,'пр.взв.'!B$1:G$36,4,FALSE)</f>
        <v>СЗФО</v>
      </c>
      <c r="E7" s="32"/>
      <c r="F7" s="68"/>
      <c r="G7" s="68"/>
      <c r="H7" s="68"/>
      <c r="I7" s="69" t="s">
        <v>17</v>
      </c>
      <c r="J7" s="68"/>
      <c r="K7" s="68"/>
      <c r="L7" s="68"/>
      <c r="M7" s="33"/>
      <c r="N7" s="33"/>
      <c r="O7" s="33"/>
      <c r="P7" s="33"/>
      <c r="Q7" s="70"/>
      <c r="R7" s="166" t="str">
        <f>VLOOKUP(U7,'пр.взв.'!B7:E38,2,FALSE)</f>
        <v>ГАЛЯМОВ Ктрилл Николаевич</v>
      </c>
      <c r="S7" s="175" t="str">
        <f>VLOOKUP(U7,'пр.взв.'!B7:E38,3,FALSE)</f>
        <v>31.10.95, КМС</v>
      </c>
      <c r="T7" s="175" t="str">
        <f>VLOOKUP(U7,'пр.взв.'!B$7:E$38,4,FALSE)</f>
        <v>УФО</v>
      </c>
      <c r="U7" s="159">
        <v>2</v>
      </c>
      <c r="V7" s="62"/>
      <c r="W7" s="66"/>
      <c r="X7" s="67"/>
      <c r="Y7" s="67"/>
      <c r="Z7" s="64"/>
      <c r="AA7" s="64"/>
      <c r="AB7" s="64"/>
      <c r="AC7" s="71"/>
    </row>
    <row r="8" spans="1:29" s="16" customFormat="1" ht="12.75" customHeight="1">
      <c r="A8" s="165"/>
      <c r="B8" s="167"/>
      <c r="C8" s="167"/>
      <c r="D8" s="167"/>
      <c r="E8" s="35">
        <v>9</v>
      </c>
      <c r="F8" s="33"/>
      <c r="G8" s="33"/>
      <c r="H8" s="72">
        <v>4</v>
      </c>
      <c r="I8" s="177" t="str">
        <f>VLOOKUP(H8,'пр.взв.'!B7:E38,2,FALSE)</f>
        <v>АЛИСКЕРОВ Икрам Сабирович</v>
      </c>
      <c r="J8" s="178"/>
      <c r="K8" s="178"/>
      <c r="L8" s="178"/>
      <c r="M8" s="179"/>
      <c r="N8" s="33"/>
      <c r="O8" s="33"/>
      <c r="P8" s="33"/>
      <c r="Q8" s="35">
        <v>10</v>
      </c>
      <c r="R8" s="167"/>
      <c r="S8" s="170"/>
      <c r="T8" s="170"/>
      <c r="U8" s="160"/>
      <c r="V8" s="62"/>
      <c r="W8" s="66"/>
      <c r="X8" s="67"/>
      <c r="Y8" s="67"/>
      <c r="Z8" s="64"/>
      <c r="AA8" s="64"/>
      <c r="AB8" s="64"/>
      <c r="AC8" s="71"/>
    </row>
    <row r="9" spans="1:29" s="16" customFormat="1" ht="12.75" customHeight="1" thickBot="1">
      <c r="A9" s="165">
        <v>9</v>
      </c>
      <c r="B9" s="170" t="str">
        <f>VLOOKUP(A9,'пр.взв.'!B9:C40,2,FALSE)</f>
        <v>ИВАНОВ Степан Сергеевич</v>
      </c>
      <c r="C9" s="170" t="str">
        <f>VLOOKUP(A9,'пр.взв.'!B7:F38,3,FALSE)</f>
        <v>28.12.92, КМС</v>
      </c>
      <c r="D9" s="170" t="str">
        <f>VLOOKUP(A9,'пр.взв.'!B$1:G$36,4,FALSE)</f>
        <v>ДВФО</v>
      </c>
      <c r="E9" s="36" t="s">
        <v>111</v>
      </c>
      <c r="F9" s="73"/>
      <c r="G9" s="33"/>
      <c r="H9" s="68"/>
      <c r="I9" s="180"/>
      <c r="J9" s="181"/>
      <c r="K9" s="181"/>
      <c r="L9" s="181"/>
      <c r="M9" s="182"/>
      <c r="N9" s="33"/>
      <c r="O9" s="33"/>
      <c r="P9" s="37"/>
      <c r="Q9" s="36" t="s">
        <v>111</v>
      </c>
      <c r="R9" s="170" t="str">
        <f>VLOOKUP(U9,'пр.взв.'!B9:E40,2,FALSE)</f>
        <v>УДОВИЧЕНКО Михаил Владимирович</v>
      </c>
      <c r="S9" s="170" t="str">
        <f>VLOOKUP(U9,'пр.взв.'!B9:E40,3,FALSE)</f>
        <v>02.09.95, МС</v>
      </c>
      <c r="T9" s="183" t="str">
        <f>VLOOKUP(U9,'пр.взв.'!B$7:E$38,4,FALSE)</f>
        <v>МОС</v>
      </c>
      <c r="U9" s="160">
        <v>10</v>
      </c>
      <c r="V9" s="62"/>
      <c r="W9" s="66"/>
      <c r="X9" s="67"/>
      <c r="Y9" s="67"/>
      <c r="Z9" s="64"/>
      <c r="AA9" s="64"/>
      <c r="AB9" s="64"/>
      <c r="AC9" s="71"/>
    </row>
    <row r="10" spans="1:29" s="16" customFormat="1" ht="12.75" customHeight="1" thickBot="1">
      <c r="A10" s="174"/>
      <c r="B10" s="171"/>
      <c r="C10" s="171"/>
      <c r="D10" s="171"/>
      <c r="E10" s="38"/>
      <c r="F10" s="74"/>
      <c r="G10" s="35">
        <v>13</v>
      </c>
      <c r="H10" s="68"/>
      <c r="I10" s="70"/>
      <c r="J10" s="70"/>
      <c r="K10" s="121" t="s">
        <v>111</v>
      </c>
      <c r="L10" s="70"/>
      <c r="M10" s="33"/>
      <c r="N10" s="33"/>
      <c r="O10" s="35">
        <v>14</v>
      </c>
      <c r="P10" s="39"/>
      <c r="Q10" s="70"/>
      <c r="R10" s="171"/>
      <c r="S10" s="171"/>
      <c r="T10" s="170"/>
      <c r="U10" s="161"/>
      <c r="V10" s="62"/>
      <c r="W10" s="66"/>
      <c r="X10" s="75"/>
      <c r="Y10" s="67"/>
      <c r="Z10" s="64"/>
      <c r="AA10" s="64"/>
      <c r="AB10" s="64"/>
      <c r="AC10" s="71"/>
    </row>
    <row r="11" spans="1:29" s="16" customFormat="1" ht="12.75" customHeight="1" thickBot="1">
      <c r="A11" s="164">
        <v>5</v>
      </c>
      <c r="B11" s="166" t="str">
        <f>VLOOKUP(A11,'пр.взв.'!B11:C42,2,FALSE)</f>
        <v>ЯКУБЕНЯ Виталий Русланович</v>
      </c>
      <c r="C11" s="166" t="str">
        <f>VLOOKUP(A11,'пр.взв.'!B7:E38,3,FALSE)</f>
        <v>21.03.95, КМС</v>
      </c>
      <c r="D11" s="166" t="str">
        <f>VLOOKUP(A11,'пр.взв.'!B$1:G$36,4,FALSE)</f>
        <v>С-П</v>
      </c>
      <c r="E11" s="32"/>
      <c r="F11" s="74"/>
      <c r="G11" s="36" t="s">
        <v>111</v>
      </c>
      <c r="H11" s="76"/>
      <c r="I11" s="68"/>
      <c r="J11" s="70"/>
      <c r="K11" s="70"/>
      <c r="L11" s="70"/>
      <c r="M11" s="33"/>
      <c r="N11" s="37"/>
      <c r="O11" s="36" t="s">
        <v>111</v>
      </c>
      <c r="P11" s="39"/>
      <c r="Q11" s="70"/>
      <c r="R11" s="166" t="str">
        <f>VLOOKUP(U11,'пр.взв.'!B11:E42,2,FALSE)</f>
        <v>ГУСЕЙНОВ Артут Алаутдинович</v>
      </c>
      <c r="S11" s="166" t="str">
        <f>VLOOKUP(U11,'пр.взв.'!B11:E42,3,FALSE)</f>
        <v>08.03.85, КМС</v>
      </c>
      <c r="T11" s="175" t="str">
        <f>VLOOKUP(U11,'пр.взв.'!B$7:E$38,4,FALSE)</f>
        <v>С-П</v>
      </c>
      <c r="U11" s="168">
        <v>6</v>
      </c>
      <c r="V11" s="62"/>
      <c r="W11" s="66"/>
      <c r="X11" s="75"/>
      <c r="Y11" s="67"/>
      <c r="Z11" s="64"/>
      <c r="AA11" s="64"/>
      <c r="AB11" s="64"/>
      <c r="AC11" s="71"/>
    </row>
    <row r="12" spans="1:29" s="16" customFormat="1" ht="12.75" customHeight="1">
      <c r="A12" s="165"/>
      <c r="B12" s="167"/>
      <c r="C12" s="167"/>
      <c r="D12" s="167"/>
      <c r="E12" s="35">
        <v>13</v>
      </c>
      <c r="F12" s="77"/>
      <c r="G12" s="33"/>
      <c r="H12" s="78"/>
      <c r="I12" s="68"/>
      <c r="J12" s="223" t="s">
        <v>11</v>
      </c>
      <c r="K12" s="223"/>
      <c r="L12" s="223"/>
      <c r="M12" s="33"/>
      <c r="N12" s="39"/>
      <c r="O12" s="33"/>
      <c r="P12" s="40"/>
      <c r="Q12" s="35">
        <v>14</v>
      </c>
      <c r="R12" s="167"/>
      <c r="S12" s="167"/>
      <c r="T12" s="170"/>
      <c r="U12" s="160"/>
      <c r="V12" s="62"/>
      <c r="W12" s="66"/>
      <c r="X12" s="75"/>
      <c r="Y12" s="67"/>
      <c r="Z12" s="64"/>
      <c r="AA12" s="64"/>
      <c r="AB12" s="64"/>
      <c r="AC12" s="71"/>
    </row>
    <row r="13" spans="1:29" s="16" customFormat="1" ht="12.75" customHeight="1" thickBot="1">
      <c r="A13" s="165">
        <v>13</v>
      </c>
      <c r="B13" s="170" t="str">
        <f>VLOOKUP(A13,'пр.взв.'!B7:C38,2,FALSE)</f>
        <v>АЛИЕВ Султан Магомедбегович</v>
      </c>
      <c r="C13" s="170" t="str">
        <f>VLOOKUP(A13,'пр.взв.'!B7:E38,3,FALSE)</f>
        <v>17.09.84, МСМК</v>
      </c>
      <c r="D13" s="170" t="str">
        <f>VLOOKUP(A13,'пр.взв.'!B$1:G$36,4,FALSE)</f>
        <v>СКФО</v>
      </c>
      <c r="E13" s="36" t="s">
        <v>111</v>
      </c>
      <c r="F13" s="33"/>
      <c r="G13" s="33"/>
      <c r="H13" s="78"/>
      <c r="I13" s="41"/>
      <c r="J13" s="79"/>
      <c r="K13" s="79"/>
      <c r="L13" s="68"/>
      <c r="M13" s="33"/>
      <c r="N13" s="39"/>
      <c r="O13" s="33"/>
      <c r="P13" s="33"/>
      <c r="Q13" s="36" t="s">
        <v>111</v>
      </c>
      <c r="R13" s="170" t="str">
        <f>VLOOKUP(U13,'пр.взв.'!B13:E44,2,FALSE)</f>
        <v>САИДОВ Саид Магомедович</v>
      </c>
      <c r="S13" s="170" t="str">
        <f>VLOOKUP(U13,'пр.взв.'!B13:E44,3,FALSE)</f>
        <v>24.08.94, КМС</v>
      </c>
      <c r="T13" s="183" t="str">
        <f>VLOOKUP(U13,'пр.взв.'!B$7:E$38,4,FALSE)</f>
        <v>СКФО</v>
      </c>
      <c r="U13" s="160">
        <v>14</v>
      </c>
      <c r="V13" s="62"/>
      <c r="W13" s="66"/>
      <c r="X13" s="75"/>
      <c r="Y13" s="67"/>
      <c r="Z13" s="64"/>
      <c r="AA13" s="64"/>
      <c r="AB13" s="64"/>
      <c r="AC13" s="71"/>
    </row>
    <row r="14" spans="1:29" s="16" customFormat="1" ht="12.75" customHeight="1" thickBot="1">
      <c r="A14" s="174"/>
      <c r="B14" s="171"/>
      <c r="C14" s="171"/>
      <c r="D14" s="171"/>
      <c r="E14" s="38"/>
      <c r="F14" s="176"/>
      <c r="G14" s="176"/>
      <c r="H14" s="78"/>
      <c r="I14" s="35">
        <v>7</v>
      </c>
      <c r="J14" s="68"/>
      <c r="K14" s="68"/>
      <c r="L14" s="68"/>
      <c r="M14" s="35">
        <v>4</v>
      </c>
      <c r="N14" s="41"/>
      <c r="O14" s="33"/>
      <c r="P14" s="33"/>
      <c r="Q14" s="70"/>
      <c r="R14" s="171"/>
      <c r="S14" s="171"/>
      <c r="T14" s="170"/>
      <c r="U14" s="169"/>
      <c r="V14" s="62"/>
      <c r="W14" s="66"/>
      <c r="X14" s="75"/>
      <c r="Y14" s="67"/>
      <c r="Z14" s="64"/>
      <c r="AA14" s="64"/>
      <c r="AB14" s="64"/>
      <c r="AC14" s="71"/>
    </row>
    <row r="15" spans="1:29" s="16" customFormat="1" ht="12.75" customHeight="1" thickBot="1">
      <c r="A15" s="164">
        <v>3</v>
      </c>
      <c r="B15" s="166" t="str">
        <f>VLOOKUP(A15,'пр.взв.'!B7:C38,2,FALSE)</f>
        <v>КАРЛИН Николай Иванович</v>
      </c>
      <c r="C15" s="166" t="str">
        <f>VLOOKUP(A15,'пр.взв.'!B7:E38,3,FALSE)</f>
        <v>14.07.87. КМС</v>
      </c>
      <c r="D15" s="166" t="str">
        <f>VLOOKUP(A15,'пр.взв.'!B$1:G$36,4,FALSE)</f>
        <v>СФО</v>
      </c>
      <c r="E15" s="32"/>
      <c r="F15" s="33"/>
      <c r="G15" s="33"/>
      <c r="H15" s="78"/>
      <c r="I15" s="36" t="s">
        <v>114</v>
      </c>
      <c r="J15" s="68"/>
      <c r="K15" s="68"/>
      <c r="L15" s="68"/>
      <c r="M15" s="36" t="s">
        <v>111</v>
      </c>
      <c r="N15" s="39"/>
      <c r="O15" s="33"/>
      <c r="P15" s="33"/>
      <c r="Q15" s="70"/>
      <c r="R15" s="166" t="str">
        <f>VLOOKUP(U15,'пр.взв.'!B7:C38,2,FALSE)</f>
        <v>АЛИСКЕРОВ Икрам Сабирович</v>
      </c>
      <c r="S15" s="166" t="str">
        <f>VLOOKUP(U15,'пр.взв.'!B7:E38,3,FALSE)</f>
        <v>07.12.92, МС</v>
      </c>
      <c r="T15" s="175" t="str">
        <f>VLOOKUP(U15,'пр.взв.'!B$7:E$38,4,FALSE)</f>
        <v>ПФО</v>
      </c>
      <c r="U15" s="159">
        <v>4</v>
      </c>
      <c r="V15" s="62"/>
      <c r="W15" s="66"/>
      <c r="X15" s="75"/>
      <c r="Y15" s="67"/>
      <c r="Z15" s="64"/>
      <c r="AA15" s="64"/>
      <c r="AB15" s="64"/>
      <c r="AC15" s="71"/>
    </row>
    <row r="16" spans="1:29" s="16" customFormat="1" ht="12.75" customHeight="1">
      <c r="A16" s="165"/>
      <c r="B16" s="167"/>
      <c r="C16" s="167"/>
      <c r="D16" s="167"/>
      <c r="E16" s="35">
        <v>3</v>
      </c>
      <c r="F16" s="33"/>
      <c r="G16" s="33"/>
      <c r="H16" s="78"/>
      <c r="I16" s="68"/>
      <c r="J16" s="68"/>
      <c r="K16" s="68"/>
      <c r="L16" s="68"/>
      <c r="M16" s="33"/>
      <c r="N16" s="39"/>
      <c r="O16" s="33"/>
      <c r="P16" s="33"/>
      <c r="Q16" s="35">
        <v>4</v>
      </c>
      <c r="R16" s="167"/>
      <c r="S16" s="167"/>
      <c r="T16" s="170"/>
      <c r="U16" s="160"/>
      <c r="V16" s="62"/>
      <c r="W16" s="66"/>
      <c r="X16" s="75"/>
      <c r="Y16" s="67"/>
      <c r="Z16" s="64"/>
      <c r="AA16" s="64"/>
      <c r="AB16" s="64"/>
      <c r="AC16" s="71"/>
    </row>
    <row r="17" spans="1:29" s="16" customFormat="1" ht="12.75" customHeight="1" thickBot="1">
      <c r="A17" s="165">
        <v>11</v>
      </c>
      <c r="B17" s="170" t="str">
        <f>VLOOKUP(A17,'пр.взв.'!B17:C47,2,FALSE)</f>
        <v>МАКСУТОВ Руслан Рифатович</v>
      </c>
      <c r="C17" s="170" t="str">
        <f>VLOOKUP(A17,'пр.взв.'!B7:E38,3,FALSE)</f>
        <v>15.12.96, КМС</v>
      </c>
      <c r="D17" s="170" t="str">
        <f>VLOOKUP(A17,'пр.взв.'!B$1:G$36,4,FALSE)</f>
        <v>С-П</v>
      </c>
      <c r="E17" s="36" t="s">
        <v>111</v>
      </c>
      <c r="F17" s="73"/>
      <c r="G17" s="33"/>
      <c r="H17" s="78"/>
      <c r="I17" s="68"/>
      <c r="J17" s="68"/>
      <c r="K17" s="68"/>
      <c r="L17" s="68"/>
      <c r="M17" s="33"/>
      <c r="N17" s="39"/>
      <c r="O17" s="33"/>
      <c r="P17" s="37"/>
      <c r="Q17" s="36" t="s">
        <v>111</v>
      </c>
      <c r="R17" s="170" t="str">
        <f>VLOOKUP(U17,'пр.взв.'!B17:E47,2,FALSE)</f>
        <v>ЛЫЧКОВСКИЙ Дмитрий Олегович</v>
      </c>
      <c r="S17" s="170" t="str">
        <f>VLOOKUP(U17,'пр.взв.'!B7:E47,3,FALSE)</f>
        <v>20.06..94, КМС</v>
      </c>
      <c r="T17" s="183" t="str">
        <f>VLOOKUP(U17,'пр.взв.'!B$7:E$38,4,FALSE)</f>
        <v>СФО</v>
      </c>
      <c r="U17" s="160">
        <v>12</v>
      </c>
      <c r="V17" s="62"/>
      <c r="W17" s="66"/>
      <c r="X17" s="75"/>
      <c r="Y17" s="67"/>
      <c r="Z17" s="64"/>
      <c r="AA17" s="64"/>
      <c r="AB17" s="64"/>
      <c r="AC17" s="71"/>
    </row>
    <row r="18" spans="1:28" s="16" customFormat="1" ht="12.75" customHeight="1" thickBot="1">
      <c r="A18" s="174"/>
      <c r="B18" s="171"/>
      <c r="C18" s="171"/>
      <c r="D18" s="171"/>
      <c r="E18" s="38"/>
      <c r="F18" s="74"/>
      <c r="G18" s="35">
        <v>7</v>
      </c>
      <c r="H18" s="80"/>
      <c r="I18" s="69" t="s">
        <v>18</v>
      </c>
      <c r="J18" s="68"/>
      <c r="K18" s="68"/>
      <c r="L18" s="68"/>
      <c r="M18" s="33"/>
      <c r="N18" s="40"/>
      <c r="O18" s="35">
        <v>4</v>
      </c>
      <c r="P18" s="39"/>
      <c r="Q18" s="70"/>
      <c r="R18" s="171"/>
      <c r="S18" s="171"/>
      <c r="T18" s="170"/>
      <c r="U18" s="161"/>
      <c r="V18" s="62"/>
      <c r="W18" s="66"/>
      <c r="X18" s="75"/>
      <c r="Y18" s="67"/>
      <c r="Z18" s="64"/>
      <c r="AA18" s="65"/>
      <c r="AB18" s="65"/>
    </row>
    <row r="19" spans="1:28" s="16" customFormat="1" ht="12.75" customHeight="1" thickBot="1">
      <c r="A19" s="164">
        <v>7</v>
      </c>
      <c r="B19" s="166" t="str">
        <f>VLOOKUP(A19,'пр.взв.'!B19:C49,2,FALSE)</f>
        <v>ИБРАГИМОВ Хадис Баширович</v>
      </c>
      <c r="C19" s="166" t="str">
        <f>VLOOKUP(A19,'пр.взв.'!B7:E38,3,FALSE)</f>
        <v>21.05.95, КМС</v>
      </c>
      <c r="D19" s="166" t="str">
        <f>VLOOKUP(A19,'пр.взв.'!B$1:G$36,4,FALSE)</f>
        <v>С-П</v>
      </c>
      <c r="E19" s="32"/>
      <c r="F19" s="42"/>
      <c r="G19" s="36" t="s">
        <v>111</v>
      </c>
      <c r="H19" s="72"/>
      <c r="I19" s="70"/>
      <c r="J19" s="70"/>
      <c r="K19" s="70"/>
      <c r="L19" s="70"/>
      <c r="M19" s="70"/>
      <c r="N19" s="33"/>
      <c r="O19" s="36" t="s">
        <v>111</v>
      </c>
      <c r="P19" s="39"/>
      <c r="Q19" s="70"/>
      <c r="R19" s="166" t="str">
        <f>VLOOKUP(U19,'пр.взв.'!B19:E49,2,FALSE)</f>
        <v>ДЕМЕНТЬЕВ Владислав Алексеевич</v>
      </c>
      <c r="S19" s="166" t="str">
        <f>VLOOKUP(U19,'пр.взв.'!B19:E49,3,FALSE)</f>
        <v>14.08.96, КМС</v>
      </c>
      <c r="T19" s="175" t="str">
        <f>VLOOKUP(U19,'пр.взв.'!B$7:E$38,4,FALSE)</f>
        <v>С-П</v>
      </c>
      <c r="U19" s="172">
        <v>8</v>
      </c>
      <c r="V19" s="62"/>
      <c r="W19" s="63"/>
      <c r="X19" s="81"/>
      <c r="Y19" s="64"/>
      <c r="Z19" s="64"/>
      <c r="AA19" s="65"/>
      <c r="AB19" s="65"/>
    </row>
    <row r="20" spans="1:28" s="16" customFormat="1" ht="12.75" customHeight="1">
      <c r="A20" s="165"/>
      <c r="B20" s="167"/>
      <c r="C20" s="167"/>
      <c r="D20" s="167"/>
      <c r="E20" s="35">
        <v>7</v>
      </c>
      <c r="F20" s="43"/>
      <c r="G20" s="38"/>
      <c r="H20" s="72">
        <v>7</v>
      </c>
      <c r="I20" s="231" t="str">
        <f>VLOOKUP(H20,'пр.взв.'!B7:H38,2,FALSE)</f>
        <v>ИБРАГИМОВ Хадис Баширович</v>
      </c>
      <c r="J20" s="232"/>
      <c r="K20" s="232"/>
      <c r="L20" s="232"/>
      <c r="M20" s="233"/>
      <c r="N20" s="33"/>
      <c r="O20" s="33"/>
      <c r="P20" s="44"/>
      <c r="Q20" s="35">
        <v>16</v>
      </c>
      <c r="R20" s="167"/>
      <c r="S20" s="167"/>
      <c r="T20" s="170"/>
      <c r="U20" s="168"/>
      <c r="V20" s="62"/>
      <c r="W20" s="62"/>
      <c r="X20" s="65"/>
      <c r="Y20" s="65"/>
      <c r="Z20" s="65"/>
      <c r="AA20" s="65"/>
      <c r="AB20" s="65"/>
    </row>
    <row r="21" spans="1:28" s="16" customFormat="1" ht="12.75" customHeight="1" thickBot="1">
      <c r="A21" s="165">
        <v>15</v>
      </c>
      <c r="B21" s="170" t="str">
        <f>VLOOKUP(A21,'пр.взв.'!B21:C51,2,FALSE)</f>
        <v>ГАДЖИЯСУЛОВ Магомед Рашидович</v>
      </c>
      <c r="C21" s="170" t="str">
        <f>VLOOKUP(A21,'пр.взв.'!B7:E38,3,FALSE)</f>
        <v>04.11.93, КМС</v>
      </c>
      <c r="D21" s="170" t="str">
        <f>VLOOKUP(A21,'пр.взв.'!B$1:G$36,4,FALSE)</f>
        <v>МОС</v>
      </c>
      <c r="E21" s="36" t="s">
        <v>111</v>
      </c>
      <c r="F21" s="38"/>
      <c r="G21" s="38"/>
      <c r="H21" s="82"/>
      <c r="I21" s="234"/>
      <c r="J21" s="235"/>
      <c r="K21" s="235"/>
      <c r="L21" s="235"/>
      <c r="M21" s="236"/>
      <c r="N21" s="33"/>
      <c r="O21" s="33"/>
      <c r="P21" s="33"/>
      <c r="Q21" s="36" t="s">
        <v>111</v>
      </c>
      <c r="R21" s="170" t="str">
        <f>VLOOKUP(U21,'пр.взв.'!B21:E51,2,FALSE)</f>
        <v>ВОЛЬСКИЙ Руслан Дмитриевич</v>
      </c>
      <c r="S21" s="170" t="str">
        <f>VLOOKUP(U21,'пр.взв.'!B1:E51,3,FALSE)</f>
        <v>27.09.92, МС</v>
      </c>
      <c r="T21" s="195" t="str">
        <f>VLOOKUP(U21,'пр.взв.'!B$7:E$38,4,FALSE)</f>
        <v>СЗФО</v>
      </c>
      <c r="U21" s="169">
        <v>16</v>
      </c>
      <c r="V21" s="62"/>
      <c r="W21" s="62"/>
      <c r="X21" s="65"/>
      <c r="Y21" s="65"/>
      <c r="Z21" s="65"/>
      <c r="AA21" s="65"/>
      <c r="AB21" s="65"/>
    </row>
    <row r="22" spans="1:28" s="16" customFormat="1" ht="12.75" customHeight="1" thickBot="1">
      <c r="A22" s="174"/>
      <c r="B22" s="171"/>
      <c r="C22" s="171"/>
      <c r="D22" s="171"/>
      <c r="E22" s="38"/>
      <c r="F22" s="32"/>
      <c r="G22" s="32"/>
      <c r="H22" s="70"/>
      <c r="I22" s="70"/>
      <c r="J22" s="70"/>
      <c r="K22" s="70"/>
      <c r="L22" s="70"/>
      <c r="M22" s="70"/>
      <c r="N22" s="70"/>
      <c r="O22" s="68"/>
      <c r="P22" s="68"/>
      <c r="Q22" s="70"/>
      <c r="R22" s="171"/>
      <c r="S22" s="171"/>
      <c r="T22" s="196"/>
      <c r="U22" s="173"/>
      <c r="V22" s="62"/>
      <c r="W22" s="62"/>
      <c r="X22" s="65"/>
      <c r="Y22" s="65"/>
      <c r="Z22" s="65"/>
      <c r="AA22" s="65"/>
      <c r="AB22" s="65"/>
    </row>
    <row r="23" spans="1:28" s="16" customFormat="1" ht="12.75" customHeight="1">
      <c r="A23" s="83"/>
      <c r="B23" s="83"/>
      <c r="C23" s="83"/>
      <c r="D23" s="63"/>
      <c r="E23" s="84"/>
      <c r="F23" s="84"/>
      <c r="G23" s="84"/>
      <c r="H23" s="224" t="s">
        <v>16</v>
      </c>
      <c r="I23" s="224"/>
      <c r="J23" s="224"/>
      <c r="K23" s="224"/>
      <c r="L23" s="224"/>
      <c r="M23" s="224"/>
      <c r="N23" s="224"/>
      <c r="O23" s="85"/>
      <c r="P23" s="85"/>
      <c r="Q23" s="70"/>
      <c r="R23" s="46"/>
      <c r="S23" s="46"/>
      <c r="T23" s="46"/>
      <c r="U23" s="62"/>
      <c r="V23" s="62"/>
      <c r="W23" s="63"/>
      <c r="X23" s="65"/>
      <c r="Y23" s="65"/>
      <c r="Z23" s="65"/>
      <c r="AA23" s="65"/>
      <c r="AB23" s="65"/>
    </row>
    <row r="24" spans="1:28" s="16" customFormat="1" ht="12" customHeight="1" thickBot="1">
      <c r="A24" s="62"/>
      <c r="B24" s="62"/>
      <c r="C24" s="62"/>
      <c r="D24" s="47" t="s">
        <v>2</v>
      </c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47" t="s">
        <v>3</v>
      </c>
      <c r="P24" s="63"/>
      <c r="Q24" s="63"/>
      <c r="R24" s="63"/>
      <c r="S24" s="63"/>
      <c r="T24" s="63"/>
      <c r="U24" s="48"/>
      <c r="V24" s="63"/>
      <c r="W24" s="62"/>
      <c r="X24" s="65"/>
      <c r="Y24" s="60" t="s">
        <v>44</v>
      </c>
      <c r="Z24" s="60" t="s">
        <v>45</v>
      </c>
      <c r="AA24" s="60" t="s">
        <v>45</v>
      </c>
      <c r="AB24" s="65"/>
    </row>
    <row r="25" spans="1:28" s="16" customFormat="1" ht="12.75" customHeight="1">
      <c r="A25" s="49">
        <f>Y29</f>
        <v>5</v>
      </c>
      <c r="B25" s="204" t="str">
        <f>VLOOKUP(A25,'пр.взв.'!B7:E38,2,FALSE)</f>
        <v>ЯКУБЕНЯ Виталий Русланович</v>
      </c>
      <c r="C25" s="62"/>
      <c r="D25" s="62"/>
      <c r="E25" s="62"/>
      <c r="F25" s="62"/>
      <c r="G25" s="62"/>
      <c r="H25" s="62"/>
      <c r="I25" s="86">
        <f>Y30</f>
        <v>6</v>
      </c>
      <c r="J25" s="198" t="str">
        <f>VLOOKUP(I25,'пр.взв.'!B5:D38,2,FALSE)</f>
        <v>ГУСЕЙНОВ Артут Алаутдинович</v>
      </c>
      <c r="K25" s="208"/>
      <c r="L25" s="209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2"/>
      <c r="X25" s="65"/>
      <c r="Y25" s="87">
        <f>IF(G10=""," ",IF(G10=E8,E12,E8))</f>
        <v>9</v>
      </c>
      <c r="Z25" s="60">
        <f>IF(A25=""," ",IF(A25=C26,A27,A25))</f>
        <v>5</v>
      </c>
      <c r="AA25" s="60">
        <f>IF(D29=""," ",IF(D29=E32,C35,D29))</f>
        <v>9</v>
      </c>
      <c r="AB25" s="65"/>
    </row>
    <row r="26" spans="1:28" s="16" customFormat="1" ht="12.75" customHeight="1">
      <c r="A26" s="48"/>
      <c r="B26" s="206"/>
      <c r="C26" s="88">
        <v>9</v>
      </c>
      <c r="D26" s="89"/>
      <c r="E26" s="90"/>
      <c r="F26" s="90"/>
      <c r="G26" s="90"/>
      <c r="H26" s="90"/>
      <c r="I26" s="91"/>
      <c r="J26" s="210"/>
      <c r="K26" s="211"/>
      <c r="L26" s="212"/>
      <c r="M26" s="33">
        <v>10</v>
      </c>
      <c r="N26" s="89"/>
      <c r="O26" s="89"/>
      <c r="P26" s="89"/>
      <c r="Q26" s="89"/>
      <c r="R26" s="92"/>
      <c r="S26" s="89"/>
      <c r="T26" s="89"/>
      <c r="U26" s="48"/>
      <c r="V26" s="63"/>
      <c r="W26" s="62"/>
      <c r="X26" s="65"/>
      <c r="Y26" s="87">
        <f>IF(O10=""," ",IF(O10=Q8,Q12,Q8))</f>
        <v>10</v>
      </c>
      <c r="Z26" s="60">
        <f>IF(I25=""," ",IF(I25=M26,I27,I25))</f>
        <v>6</v>
      </c>
      <c r="AA26" s="60">
        <f>IF(N29=""," ",IF(N29=Q32,M35,N29))</f>
        <v>13</v>
      </c>
      <c r="AB26" s="65"/>
    </row>
    <row r="27" spans="1:28" s="16" customFormat="1" ht="12.75" customHeight="1">
      <c r="A27" s="50">
        <f>Y25</f>
        <v>9</v>
      </c>
      <c r="B27" s="207" t="str">
        <f>VLOOKUP(A27,'пр.взв.'!B7:D38,2,FALSE)</f>
        <v>ИВАНОВ Степан Сергеевич</v>
      </c>
      <c r="C27" s="93" t="s">
        <v>111</v>
      </c>
      <c r="D27" s="89"/>
      <c r="E27" s="94"/>
      <c r="F27" s="94"/>
      <c r="G27" s="94"/>
      <c r="H27" s="94"/>
      <c r="I27" s="95">
        <f>Y26</f>
        <v>10</v>
      </c>
      <c r="J27" s="225" t="str">
        <f>VLOOKUP(I27,'пр.взв.'!B7:D38,2,FALSE)</f>
        <v>УДОВИЧЕНКО Михаил Владимирович</v>
      </c>
      <c r="K27" s="226"/>
      <c r="L27" s="227"/>
      <c r="M27" s="93" t="s">
        <v>111</v>
      </c>
      <c r="N27" s="69"/>
      <c r="O27" s="69"/>
      <c r="P27" s="69"/>
      <c r="Q27" s="69"/>
      <c r="R27" s="89"/>
      <c r="S27" s="89"/>
      <c r="T27" s="89"/>
      <c r="U27" s="63"/>
      <c r="V27" s="63"/>
      <c r="W27" s="62"/>
      <c r="X27" s="65"/>
      <c r="Y27" s="87">
        <f>IF(G18=""," ",IF(G18=E16,E20,E16))</f>
        <v>3</v>
      </c>
      <c r="Z27" s="60">
        <f>IF(A31=""," ",IF(A31=C32,A33,A31))</f>
        <v>3</v>
      </c>
      <c r="AA27" s="60">
        <f>IF(C32=""," ",IF(C32=D29,C26,C32))</f>
        <v>15</v>
      </c>
      <c r="AB27" s="65"/>
    </row>
    <row r="28" spans="1:28" s="16" customFormat="1" ht="12.75" customHeight="1" thickBot="1">
      <c r="A28" s="50"/>
      <c r="B28" s="205"/>
      <c r="C28" s="96"/>
      <c r="D28" s="89"/>
      <c r="E28" s="69"/>
      <c r="F28" s="69"/>
      <c r="G28" s="94"/>
      <c r="H28" s="94"/>
      <c r="I28" s="95"/>
      <c r="J28" s="228"/>
      <c r="K28" s="229"/>
      <c r="L28" s="230"/>
      <c r="M28" s="96"/>
      <c r="N28" s="69"/>
      <c r="O28" s="69"/>
      <c r="P28" s="69"/>
      <c r="Q28" s="69"/>
      <c r="R28" s="89"/>
      <c r="S28" s="51"/>
      <c r="T28" s="89"/>
      <c r="U28" s="63"/>
      <c r="V28" s="63"/>
      <c r="W28" s="62"/>
      <c r="X28" s="65"/>
      <c r="Y28" s="87">
        <f>IF(O18=""," ",IF(O18=Q16,Q20,Q16))</f>
        <v>16</v>
      </c>
      <c r="Z28" s="60">
        <f>IF(I31=""," ",IF(I31=M32,I33,I31))</f>
        <v>12</v>
      </c>
      <c r="AA28" s="60">
        <f>IF(M32=""," ",IF(M32=N29,M26,M32))</f>
        <v>16</v>
      </c>
      <c r="AB28" s="65"/>
    </row>
    <row r="29" spans="1:28" s="16" customFormat="1" ht="12.75" customHeight="1">
      <c r="A29" s="50"/>
      <c r="B29" s="97"/>
      <c r="C29" s="96"/>
      <c r="D29" s="33">
        <v>9</v>
      </c>
      <c r="E29" s="69"/>
      <c r="F29" s="69"/>
      <c r="G29" s="94"/>
      <c r="H29" s="94"/>
      <c r="I29" s="95"/>
      <c r="J29" s="82"/>
      <c r="K29" s="97"/>
      <c r="L29" s="98"/>
      <c r="M29" s="96"/>
      <c r="N29" s="219">
        <v>10</v>
      </c>
      <c r="O29" s="220"/>
      <c r="P29" s="220"/>
      <c r="Q29" s="69"/>
      <c r="R29" s="89"/>
      <c r="S29" s="89"/>
      <c r="T29" s="89"/>
      <c r="U29" s="63"/>
      <c r="V29" s="63"/>
      <c r="W29" s="62"/>
      <c r="X29" s="65"/>
      <c r="Y29" s="87">
        <f>IF(G10=""," ",IF(G10=A7,A9,IF(G10=A9,A7,IF(G10=A11,A13,A11))))</f>
        <v>5</v>
      </c>
      <c r="Z29" s="60">
        <f>IF(AND(OR(A7=G10,A9=G10),A11=E12),A13,IF(AND(OR(A7=G10,A9=G10),A13=E12),A11,IF(A7=E8,A9,A7)))</f>
        <v>1</v>
      </c>
      <c r="AA29" s="60"/>
      <c r="AB29" s="65"/>
    </row>
    <row r="30" spans="1:28" s="16" customFormat="1" ht="12.75" customHeight="1" thickBot="1">
      <c r="A30" s="50"/>
      <c r="B30" s="100"/>
      <c r="C30" s="96"/>
      <c r="D30" s="93" t="s">
        <v>111</v>
      </c>
      <c r="E30" s="69"/>
      <c r="F30" s="62" t="s">
        <v>19</v>
      </c>
      <c r="G30" s="94"/>
      <c r="H30" s="94"/>
      <c r="I30" s="95"/>
      <c r="J30" s="82"/>
      <c r="K30" s="100"/>
      <c r="L30" s="98"/>
      <c r="M30" s="96"/>
      <c r="N30" s="120"/>
      <c r="O30" s="97" t="s">
        <v>111</v>
      </c>
      <c r="P30" s="101"/>
      <c r="Q30" s="69"/>
      <c r="R30" s="62" t="s">
        <v>19</v>
      </c>
      <c r="S30" s="89"/>
      <c r="T30" s="89"/>
      <c r="U30" s="63"/>
      <c r="V30" s="63"/>
      <c r="W30" s="62"/>
      <c r="X30" s="65"/>
      <c r="Y30" s="87">
        <f>IF(O10=""," ",IF(O10=U7,U9,IF(O10=U9,U7,IF(O10=U11,U13,U11))))</f>
        <v>6</v>
      </c>
      <c r="Z30" s="60">
        <f>IF(AND(U7=O10,U11=Q12),U13,IF(AND(U7=O10,U13=Q12),U11,IF(AND(U9=O10,U11=Q12),U13,IF(AND(U9=O10,U13=Q12),U11,IF(U7=Q8,U9,U7)))))</f>
        <v>2</v>
      </c>
      <c r="AA30" s="60"/>
      <c r="AB30" s="65"/>
    </row>
    <row r="31" spans="1:28" s="16" customFormat="1" ht="13.5" thickBot="1">
      <c r="A31" s="52">
        <f>Y31</f>
        <v>15</v>
      </c>
      <c r="B31" s="204" t="str">
        <f>VLOOKUP(A31,'пр.взв.'!B7:D38,2,FALSE)</f>
        <v>ГАДЖИЯСУЛОВ Магомед Рашидович</v>
      </c>
      <c r="C31" s="102"/>
      <c r="D31" s="103"/>
      <c r="E31" s="72"/>
      <c r="F31" s="69"/>
      <c r="G31" s="69"/>
      <c r="H31" s="69"/>
      <c r="I31" s="104">
        <f>Y32</f>
        <v>12</v>
      </c>
      <c r="J31" s="198" t="str">
        <f>VLOOKUP(I31,'пр.взв.'!B7:D38,2,FALSE)</f>
        <v>ЛЫЧКОВСКИЙ Дмитрий Олегович</v>
      </c>
      <c r="K31" s="208"/>
      <c r="L31" s="209"/>
      <c r="M31" s="102"/>
      <c r="N31" s="69"/>
      <c r="O31" s="69"/>
      <c r="P31" s="105"/>
      <c r="Q31" s="69"/>
      <c r="R31" s="89"/>
      <c r="S31" s="89"/>
      <c r="T31" s="89"/>
      <c r="U31" s="63"/>
      <c r="V31" s="63"/>
      <c r="W31" s="62"/>
      <c r="X31" s="65"/>
      <c r="Y31" s="87">
        <f>IF(G18=""," ",IF(G18=A15,A17,IF(G18=A15,A17,IF(G18=A19,A21,A19))))</f>
        <v>15</v>
      </c>
      <c r="Z31" s="60">
        <f>IF(AND(OR(A15=G18,A17=G18),A19=E20),A21,IF(AND(OR(A15=G18,A17=G18),A21=E20),A19,IF(A15=E16,A17,A15)))</f>
        <v>11</v>
      </c>
      <c r="AA31" s="60"/>
      <c r="AB31" s="65"/>
    </row>
    <row r="32" spans="1:28" s="16" customFormat="1" ht="13.5" customHeight="1">
      <c r="A32" s="52"/>
      <c r="B32" s="206"/>
      <c r="C32" s="106">
        <v>15</v>
      </c>
      <c r="D32" s="103"/>
      <c r="E32" s="99">
        <v>14</v>
      </c>
      <c r="F32" s="213" t="str">
        <f>VLOOKUP(E32,'пр.взв.'!B7:D38,2,FALSE)</f>
        <v>САИДОВ Саид Магомедович</v>
      </c>
      <c r="G32" s="214"/>
      <c r="H32" s="215"/>
      <c r="I32" s="107"/>
      <c r="J32" s="210"/>
      <c r="K32" s="211"/>
      <c r="L32" s="212"/>
      <c r="M32" s="106">
        <v>16</v>
      </c>
      <c r="N32" s="108"/>
      <c r="O32" s="108"/>
      <c r="P32" s="105"/>
      <c r="Q32" s="99">
        <v>10</v>
      </c>
      <c r="R32" s="221" t="str">
        <f>VLOOKUP(Q32,'пр.взв.'!B7:D38,2,FALSE)</f>
        <v>УДОВИЧЕНКО Михаил Владимирович</v>
      </c>
      <c r="S32" s="108"/>
      <c r="T32" s="108"/>
      <c r="U32" s="108"/>
      <c r="V32" s="63"/>
      <c r="W32" s="62"/>
      <c r="X32" s="65"/>
      <c r="Y32" s="87">
        <f>IF(O18=""," ",IF(O18=U15,U17,IF(O18=U17,U15,IF(O18=U19,U21,U19))))</f>
        <v>12</v>
      </c>
      <c r="Z32" s="60">
        <f>IF(AND(U15=O18,U19=Q20),U21,IF(AND(U15=O18,U21=Q20),U19,IF(AND(U17=O18,U19=Q20),U21,IF(AND(U17=O18,U21=Q20),U19,IF(U15=Q16,U17,U15)))))</f>
        <v>8</v>
      </c>
      <c r="AA32" s="60"/>
      <c r="AB32" s="65"/>
    </row>
    <row r="33" spans="1:28" s="16" customFormat="1" ht="13.5" customHeight="1" thickBot="1">
      <c r="A33" s="52">
        <f>Y27</f>
        <v>3</v>
      </c>
      <c r="B33" s="207" t="str">
        <f>VLOOKUP(A33,'пр.взв.'!B7:E38,2,FALSE)</f>
        <v>КАРЛИН Николай Иванович</v>
      </c>
      <c r="C33" s="97" t="s">
        <v>112</v>
      </c>
      <c r="D33" s="103"/>
      <c r="E33" s="109" t="s">
        <v>111</v>
      </c>
      <c r="F33" s="216"/>
      <c r="G33" s="217"/>
      <c r="H33" s="218"/>
      <c r="I33" s="107">
        <f>Y28</f>
        <v>16</v>
      </c>
      <c r="J33" s="225" t="str">
        <f>VLOOKUP(I33,'пр.взв.'!B7:D38,2,FALSE)</f>
        <v>ВОЛЬСКИЙ Руслан Дмитриевич</v>
      </c>
      <c r="K33" s="226"/>
      <c r="L33" s="227"/>
      <c r="M33" s="110" t="s">
        <v>113</v>
      </c>
      <c r="N33" s="108"/>
      <c r="O33" s="108"/>
      <c r="P33" s="105"/>
      <c r="Q33" s="97" t="s">
        <v>111</v>
      </c>
      <c r="R33" s="222"/>
      <c r="S33" s="108"/>
      <c r="T33" s="108"/>
      <c r="U33" s="108"/>
      <c r="V33" s="63"/>
      <c r="W33" s="62"/>
      <c r="X33" s="65"/>
      <c r="Y33" s="111">
        <f>IF(G10=I14,G18,G10)</f>
        <v>13</v>
      </c>
      <c r="Z33" s="65"/>
      <c r="AA33" s="65"/>
      <c r="AB33" s="65"/>
    </row>
    <row r="34" spans="1:28" s="16" customFormat="1" ht="13.5" customHeight="1" thickBot="1">
      <c r="A34" s="112"/>
      <c r="B34" s="205"/>
      <c r="C34" s="89"/>
      <c r="D34" s="103"/>
      <c r="E34" s="69"/>
      <c r="F34" s="69"/>
      <c r="G34" s="69"/>
      <c r="H34" s="69"/>
      <c r="I34" s="107"/>
      <c r="J34" s="228"/>
      <c r="K34" s="229"/>
      <c r="L34" s="230"/>
      <c r="M34" s="69"/>
      <c r="N34" s="69"/>
      <c r="O34" s="69"/>
      <c r="P34" s="105"/>
      <c r="Q34" s="69"/>
      <c r="R34" s="89"/>
      <c r="S34" s="89"/>
      <c r="T34" s="89"/>
      <c r="U34" s="63"/>
      <c r="V34" s="63"/>
      <c r="W34" s="62"/>
      <c r="X34" s="65"/>
      <c r="Y34" s="111">
        <f>IF(O10=M14,O18,O10)</f>
        <v>14</v>
      </c>
      <c r="Z34" s="65"/>
      <c r="AA34" s="65"/>
      <c r="AB34" s="65"/>
    </row>
    <row r="35" spans="1:28" s="16" customFormat="1" ht="12.75">
      <c r="A35" s="63"/>
      <c r="B35" s="89"/>
      <c r="C35" s="104">
        <f>Y34</f>
        <v>14</v>
      </c>
      <c r="D35" s="204" t="str">
        <f>VLOOKUP(C35,'пр.взв.'!B7:D38,2,FALSE)</f>
        <v>САИДОВ Саид Магомедович</v>
      </c>
      <c r="E35" s="69"/>
      <c r="F35" s="69"/>
      <c r="G35" s="69"/>
      <c r="H35" s="69"/>
      <c r="I35" s="72"/>
      <c r="J35" s="94"/>
      <c r="K35" s="69"/>
      <c r="L35" s="69"/>
      <c r="M35" s="104">
        <f>Y33</f>
        <v>13</v>
      </c>
      <c r="N35" s="198" t="str">
        <f>VLOOKUP(M35,'пр.взв.'!B7:D38,2,FALSE)</f>
        <v>АЛИЕВ Султан Магомедбегович</v>
      </c>
      <c r="O35" s="199"/>
      <c r="P35" s="200"/>
      <c r="Q35" s="69"/>
      <c r="R35" s="89"/>
      <c r="S35" s="89"/>
      <c r="T35" s="89"/>
      <c r="U35" s="63"/>
      <c r="V35" s="63"/>
      <c r="W35" s="62"/>
      <c r="X35" s="65"/>
      <c r="Y35" s="65"/>
      <c r="Z35" s="65"/>
      <c r="AA35" s="65"/>
      <c r="AB35" s="65"/>
    </row>
    <row r="36" spans="1:28" s="16" customFormat="1" ht="13.5" thickBot="1">
      <c r="A36" s="62"/>
      <c r="B36" s="89"/>
      <c r="C36" s="113"/>
      <c r="D36" s="205"/>
      <c r="E36" s="69"/>
      <c r="F36" s="69"/>
      <c r="G36" s="69"/>
      <c r="H36" s="69"/>
      <c r="I36" s="69"/>
      <c r="J36" s="94"/>
      <c r="K36" s="69"/>
      <c r="L36" s="69"/>
      <c r="M36" s="69"/>
      <c r="N36" s="201"/>
      <c r="O36" s="202"/>
      <c r="P36" s="203"/>
      <c r="Q36" s="69"/>
      <c r="R36" s="89"/>
      <c r="S36" s="89"/>
      <c r="T36" s="89"/>
      <c r="U36" s="63"/>
      <c r="V36" s="63"/>
      <c r="W36" s="62"/>
      <c r="X36" s="65"/>
      <c r="Y36" s="65"/>
      <c r="Z36" s="65"/>
      <c r="AA36" s="65"/>
      <c r="AB36" s="65"/>
    </row>
    <row r="37" spans="1:28" s="16" customFormat="1" ht="12.75">
      <c r="A37" s="114"/>
      <c r="B37" s="115"/>
      <c r="C37" s="115"/>
      <c r="D37" s="116"/>
      <c r="E37" s="117"/>
      <c r="F37" s="117"/>
      <c r="G37" s="117"/>
      <c r="H37" s="118"/>
      <c r="I37" s="118"/>
      <c r="J37" s="118"/>
      <c r="K37" s="117"/>
      <c r="L37" s="117"/>
      <c r="M37" s="117"/>
      <c r="N37" s="117"/>
      <c r="O37" s="117"/>
      <c r="P37" s="117"/>
      <c r="Q37" s="117"/>
      <c r="R37" s="115"/>
      <c r="S37" s="115"/>
      <c r="T37" s="115"/>
      <c r="U37" s="115"/>
      <c r="V37" s="115"/>
      <c r="W37" s="62"/>
      <c r="X37" s="65"/>
      <c r="Y37" s="65"/>
      <c r="Z37" s="65"/>
      <c r="AA37" s="65"/>
      <c r="AB37" s="65"/>
    </row>
    <row r="38" spans="1:28" s="16" customFormat="1" ht="15.75">
      <c r="A38" s="197" t="str">
        <f>HYPERLINK('[1]реквизиты'!$A$6)</f>
        <v>Гл. судья, судья МК</v>
      </c>
      <c r="B38" s="197"/>
      <c r="C38" s="197"/>
      <c r="D38" s="62"/>
      <c r="E38" s="53"/>
      <c r="F38" s="54"/>
      <c r="G38" s="62"/>
      <c r="H38" s="62"/>
      <c r="I38" s="62"/>
      <c r="J38" s="55" t="str">
        <f>Итоговый!G40</f>
        <v>Н.Н.Малышев</v>
      </c>
      <c r="K38" s="62"/>
      <c r="L38" s="62"/>
      <c r="M38" s="62"/>
      <c r="N38" s="84"/>
      <c r="O38" s="119" t="str">
        <f>Итоговый!G41</f>
        <v>/г.Дубна/</v>
      </c>
      <c r="P38" s="84"/>
      <c r="Q38" s="84"/>
      <c r="R38" s="63"/>
      <c r="S38" s="63"/>
      <c r="T38" s="63"/>
      <c r="U38" s="63"/>
      <c r="V38" s="63"/>
      <c r="W38" s="62"/>
      <c r="X38" s="65"/>
      <c r="Y38" s="65"/>
      <c r="Z38" s="65"/>
      <c r="AA38" s="65"/>
      <c r="AB38" s="65"/>
    </row>
    <row r="39" spans="1:28" s="16" customFormat="1" ht="12.75">
      <c r="A39" s="46"/>
      <c r="B39" s="46"/>
      <c r="C39" s="46"/>
      <c r="D39" s="63"/>
      <c r="E39" s="84"/>
      <c r="F39" s="84"/>
      <c r="G39" s="84"/>
      <c r="H39" s="84"/>
      <c r="I39" s="84"/>
      <c r="J39" s="70"/>
      <c r="K39" s="70"/>
      <c r="L39" s="70"/>
      <c r="M39" s="70"/>
      <c r="N39" s="70"/>
      <c r="O39" s="70"/>
      <c r="P39" s="70"/>
      <c r="Q39" s="70"/>
      <c r="R39" s="62"/>
      <c r="S39" s="62"/>
      <c r="T39" s="62"/>
      <c r="U39" s="62"/>
      <c r="V39" s="62"/>
      <c r="W39" s="62"/>
      <c r="X39" s="65"/>
      <c r="Y39" s="65"/>
      <c r="Z39" s="65"/>
      <c r="AA39" s="65"/>
      <c r="AB39" s="65"/>
    </row>
    <row r="40" spans="1:28" s="16" customFormat="1" ht="15.75">
      <c r="A40" s="56" t="str">
        <f>HYPERLINK('[1]реквизиты'!$A$8)</f>
        <v>Гл. секретарь, судья МК</v>
      </c>
      <c r="B40" s="57"/>
      <c r="C40" s="58"/>
      <c r="D40" s="63"/>
      <c r="E40" s="63"/>
      <c r="F40" s="63"/>
      <c r="G40" s="63"/>
      <c r="H40" s="63"/>
      <c r="I40" s="63"/>
      <c r="J40" s="55" t="str">
        <f>Итоговый!G43</f>
        <v>С.М.Трескин</v>
      </c>
      <c r="K40" s="84"/>
      <c r="L40" s="84"/>
      <c r="M40" s="84"/>
      <c r="N40" s="62"/>
      <c r="O40" s="119" t="str">
        <f>Итоговый!G44</f>
        <v>/г.Бийск/</v>
      </c>
      <c r="P40" s="70"/>
      <c r="Q40" s="62"/>
      <c r="R40" s="62"/>
      <c r="S40" s="62"/>
      <c r="T40" s="62"/>
      <c r="U40" s="62"/>
      <c r="V40" s="62"/>
      <c r="W40" s="62"/>
      <c r="X40" s="65"/>
      <c r="Y40" s="65"/>
      <c r="Z40" s="65"/>
      <c r="AA40" s="65"/>
      <c r="AB40" s="65"/>
    </row>
    <row r="41" spans="1:24" ht="15">
      <c r="A41" s="25"/>
      <c r="B41" s="25"/>
      <c r="C41" s="25"/>
      <c r="D41" s="54"/>
      <c r="E41" s="54"/>
      <c r="F41" s="54"/>
      <c r="G41" s="59"/>
      <c r="H41" s="59"/>
      <c r="I41" s="29"/>
      <c r="J41" s="29"/>
      <c r="K41" s="29"/>
      <c r="L41" s="29"/>
      <c r="M41" s="45"/>
      <c r="N41" s="45"/>
      <c r="O41" s="45"/>
      <c r="P41" s="45"/>
      <c r="Q41" s="29"/>
      <c r="R41" s="30"/>
      <c r="S41" s="34"/>
      <c r="T41" s="34"/>
      <c r="U41" s="25"/>
      <c r="V41" s="25"/>
      <c r="W41" s="25"/>
      <c r="X41" s="26"/>
    </row>
    <row r="42" spans="4:20" ht="15">
      <c r="D42" s="10"/>
      <c r="E42" s="10"/>
      <c r="F42" s="11"/>
      <c r="G42" s="13"/>
      <c r="H42" s="13"/>
      <c r="I42" s="1"/>
      <c r="J42" s="1"/>
      <c r="K42" s="1"/>
      <c r="L42" s="1"/>
      <c r="M42" s="7"/>
      <c r="N42" s="7"/>
      <c r="O42" s="7"/>
      <c r="P42" s="7"/>
      <c r="Q42" s="13"/>
      <c r="R42" s="2"/>
      <c r="S42" s="8"/>
      <c r="T42" s="8"/>
    </row>
    <row r="43" spans="10:20" ht="12.75">
      <c r="J43" s="1"/>
      <c r="K43" s="1"/>
      <c r="L43" s="1"/>
      <c r="M43" s="1"/>
      <c r="N43" s="1"/>
      <c r="O43" s="1"/>
      <c r="P43" s="1"/>
      <c r="Q43" s="1"/>
      <c r="S43" s="8"/>
      <c r="T43" s="8"/>
    </row>
    <row r="44" spans="2:18" ht="15">
      <c r="B44" s="4">
        <f>HYPERLINK('[1]реквизиты'!$A$22)</f>
      </c>
      <c r="C44" s="3"/>
      <c r="D44" s="10"/>
      <c r="E44" s="10"/>
      <c r="F44" s="10"/>
      <c r="G44" s="2"/>
      <c r="H44" s="2"/>
      <c r="M44" s="6">
        <f>HYPERLINK('[1]реквизиты'!$G$23)</f>
      </c>
      <c r="O44" s="8"/>
      <c r="P44" s="8"/>
      <c r="R44" s="2"/>
    </row>
    <row r="45" spans="5:17" ht="12.7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55" ht="12.75">
      <c r="D55" s="1"/>
    </row>
    <row r="57" spans="5:9" ht="12.75">
      <c r="E57" s="1"/>
      <c r="F57" s="1"/>
      <c r="G57" s="1"/>
      <c r="H57" s="1"/>
      <c r="I57" s="1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54"/>
  <sheetViews>
    <sheetView tabSelected="1" zoomScalePageLayoutView="0" workbookViewId="0" topLeftCell="A1">
      <selection activeCell="AB6" sqref="AB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24" width="0" style="0" hidden="1" customWidth="1"/>
  </cols>
  <sheetData>
    <row r="1" spans="1:8" ht="62.25" customHeight="1" thickBot="1">
      <c r="A1" s="256" t="s">
        <v>12</v>
      </c>
      <c r="B1" s="256"/>
      <c r="C1" s="256"/>
      <c r="D1" s="256"/>
      <c r="E1" s="256"/>
      <c r="F1" s="256"/>
      <c r="G1" s="256"/>
      <c r="H1" s="256"/>
    </row>
    <row r="2" spans="2:8" ht="25.5" customHeight="1" thickBot="1">
      <c r="B2" s="124" t="s">
        <v>14</v>
      </c>
      <c r="C2" s="124"/>
      <c r="D2" s="245" t="str">
        <f>HYPERLINK('[1]реквизиты'!$A$2)</f>
        <v>Чемпионат России по БОЕВОМУ САМБО </v>
      </c>
      <c r="E2" s="246"/>
      <c r="F2" s="246"/>
      <c r="G2" s="246"/>
      <c r="H2" s="247"/>
    </row>
    <row r="3" spans="2:25" ht="24.75" customHeight="1" thickBot="1">
      <c r="B3" s="248" t="str">
        <f>'пр.взв.'!A3</f>
        <v>9-12 февраля 2016.                                                         г.Петрозаводск</v>
      </c>
      <c r="C3" s="248"/>
      <c r="D3" s="248"/>
      <c r="E3" s="248"/>
      <c r="F3" s="248"/>
      <c r="G3" s="248"/>
      <c r="H3" s="17" t="str">
        <f>'пр.взв.'!D4</f>
        <v>в.к. 90  кг.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5" ht="12.75" customHeight="1" thickBot="1">
      <c r="A4" s="280" t="s">
        <v>21</v>
      </c>
      <c r="B4" s="282" t="s">
        <v>4</v>
      </c>
      <c r="C4" s="284" t="s">
        <v>5</v>
      </c>
      <c r="D4" s="238" t="s">
        <v>6</v>
      </c>
      <c r="E4" s="237" t="s">
        <v>7</v>
      </c>
      <c r="F4" s="238"/>
      <c r="G4" s="260" t="s">
        <v>10</v>
      </c>
      <c r="H4" s="257" t="s">
        <v>8</v>
      </c>
      <c r="I4" s="289"/>
      <c r="J4" s="290" t="str">
        <f>MID(F6,FIND(,F6),3)</f>
        <v>Ниж</v>
      </c>
      <c r="K4" s="290">
        <v>1</v>
      </c>
      <c r="L4" s="291" t="s">
        <v>29</v>
      </c>
      <c r="M4" s="292" t="s">
        <v>30</v>
      </c>
      <c r="N4" s="293"/>
      <c r="O4" s="294"/>
      <c r="P4" s="294"/>
      <c r="Q4" s="295"/>
      <c r="R4" s="289"/>
      <c r="S4" s="296" t="s">
        <v>29</v>
      </c>
      <c r="T4" s="292" t="s">
        <v>30</v>
      </c>
      <c r="U4" s="293"/>
      <c r="V4" s="294"/>
      <c r="W4" s="294"/>
      <c r="X4" s="295"/>
      <c r="Y4" s="289"/>
    </row>
    <row r="5" spans="1:25" ht="16.5" thickBot="1">
      <c r="A5" s="281"/>
      <c r="B5" s="283"/>
      <c r="C5" s="285"/>
      <c r="D5" s="240"/>
      <c r="E5" s="239"/>
      <c r="F5" s="240"/>
      <c r="G5" s="241"/>
      <c r="H5" s="258"/>
      <c r="I5" s="289"/>
      <c r="J5" s="290"/>
      <c r="K5" s="290"/>
      <c r="L5" s="297"/>
      <c r="M5" s="298"/>
      <c r="N5" s="299">
        <v>1</v>
      </c>
      <c r="O5" s="300">
        <v>2</v>
      </c>
      <c r="P5" s="300">
        <v>3</v>
      </c>
      <c r="Q5" s="301">
        <v>5</v>
      </c>
      <c r="R5" s="289"/>
      <c r="S5" s="302"/>
      <c r="T5" s="298"/>
      <c r="U5" s="299">
        <v>1</v>
      </c>
      <c r="V5" s="300">
        <v>2</v>
      </c>
      <c r="W5" s="300">
        <v>3</v>
      </c>
      <c r="X5" s="301">
        <v>5</v>
      </c>
      <c r="Y5" s="289"/>
    </row>
    <row r="6" spans="1:25" ht="12.75" customHeight="1">
      <c r="A6" s="286">
        <v>1</v>
      </c>
      <c r="B6" s="287">
        <f>'пр.хода'!H8</f>
        <v>4</v>
      </c>
      <c r="C6" s="270" t="str">
        <f>VLOOKUP(B6,'пр.взв.'!B7:H38,2,FALSE)</f>
        <v>АЛИСКЕРОВ Икрам Сабирович</v>
      </c>
      <c r="D6" s="288" t="str">
        <f>VLOOKUP(B6,'пр.взв.'!B7:H131,3,FALSE)</f>
        <v>07.12.92, МС</v>
      </c>
      <c r="E6" s="254" t="str">
        <f>VLOOKUP(B6,'пр.взв.'!B7:H38,4,FALSE)</f>
        <v>ПФО</v>
      </c>
      <c r="F6" s="265" t="str">
        <f>VLOOKUP(B6,'пр.взв.'!B7:H38,5,FALSE)</f>
        <v>Нижегородская, Кстово, ПР</v>
      </c>
      <c r="G6" s="253">
        <f>VLOOKUP(B6,'пр.взв.'!B7:H38,6,FALSE)</f>
        <v>0</v>
      </c>
      <c r="H6" s="259" t="str">
        <f>VLOOKUP(B6,'пр.взв.'!B7:H133,7,FALSE)</f>
        <v>Эмирагаев Э.В., Фролов И.М.</v>
      </c>
      <c r="I6" s="289"/>
      <c r="J6" s="290" t="s">
        <v>31</v>
      </c>
      <c r="K6" s="290">
        <v>1</v>
      </c>
      <c r="L6" s="303">
        <v>1</v>
      </c>
      <c r="M6" s="22" t="s">
        <v>32</v>
      </c>
      <c r="N6" s="19">
        <f>SUMIF($J$4:$J$7,"Алт",$K$4:$K$7)</f>
        <v>0</v>
      </c>
      <c r="O6" s="19">
        <f>SUMIF($I$8:$J$9,"алт",$K$6:$K$9)</f>
        <v>0</v>
      </c>
      <c r="P6" s="20">
        <f>SUMIF($J$10:$J$13,"Алт",$K$10:$K$13)</f>
        <v>0</v>
      </c>
      <c r="Q6" s="20">
        <f>SUMIF($J$14:$J$17,"Алт",$K$14:$K$17)</f>
        <v>0</v>
      </c>
      <c r="R6" s="289"/>
      <c r="S6" s="303">
        <v>1</v>
      </c>
      <c r="T6" s="22" t="str">
        <f>J4</f>
        <v>Ниж</v>
      </c>
      <c r="U6" s="19">
        <f aca="true" t="shared" si="0" ref="U6:U11">SUMIF($J$4:$J$7,T6,$K$4:$K$7)</f>
        <v>1</v>
      </c>
      <c r="V6" s="19">
        <f aca="true" t="shared" si="1" ref="V6:V11">SUMIF($I$8:$J$9,T6,$K$6:$K$9)</f>
        <v>0</v>
      </c>
      <c r="W6" s="20">
        <f aca="true" t="shared" si="2" ref="W6:W11">SUMIF($J$10:$J$13,T6,$K$10:$K$13)</f>
        <v>0</v>
      </c>
      <c r="X6" s="20">
        <f aca="true" t="shared" si="3" ref="X6:X11">SUMIF($J$14:$J$17,T6,$K$14:$K$17)</f>
        <v>0</v>
      </c>
      <c r="Y6" s="289"/>
    </row>
    <row r="7" spans="1:25" ht="15.75">
      <c r="A7" s="278"/>
      <c r="B7" s="274"/>
      <c r="C7" s="275"/>
      <c r="D7" s="288"/>
      <c r="E7" s="244"/>
      <c r="F7" s="133"/>
      <c r="G7" s="253"/>
      <c r="H7" s="259"/>
      <c r="I7" s="289"/>
      <c r="J7" s="290"/>
      <c r="K7" s="290"/>
      <c r="L7" s="21">
        <v>2</v>
      </c>
      <c r="M7" s="22" t="s">
        <v>33</v>
      </c>
      <c r="N7" s="19">
        <f>SUMIF($J$4:$J$7,"заб",$K$4:$K$7)</f>
        <v>0</v>
      </c>
      <c r="O7" s="19">
        <f>SUMIF($I$8:$J$9,"заб",$K$6:$K$9)</f>
        <v>0</v>
      </c>
      <c r="P7" s="20">
        <f>SUMIF($J$10:$J$13,"заб",$K$10:$K$13)</f>
        <v>0</v>
      </c>
      <c r="Q7" s="20">
        <f>SUMIF($J$14:$J$17,"заб",$K$14:$K$17)</f>
        <v>0</v>
      </c>
      <c r="R7" s="289"/>
      <c r="S7" s="21">
        <v>2</v>
      </c>
      <c r="T7" s="22" t="str">
        <f>IF(J8=J4," ",J8)</f>
        <v>С-П</v>
      </c>
      <c r="U7" s="19">
        <f t="shared" si="0"/>
        <v>0</v>
      </c>
      <c r="V7" s="19">
        <f t="shared" si="1"/>
        <v>1</v>
      </c>
      <c r="W7" s="20">
        <f t="shared" si="2"/>
        <v>0</v>
      </c>
      <c r="X7" s="20">
        <f t="shared" si="3"/>
        <v>0</v>
      </c>
      <c r="Y7" s="289"/>
    </row>
    <row r="8" spans="1:25" ht="12.75" customHeight="1">
      <c r="A8" s="278">
        <v>2</v>
      </c>
      <c r="B8" s="274">
        <f>'пр.хода'!H20</f>
        <v>7</v>
      </c>
      <c r="C8" s="270" t="str">
        <f>VLOOKUP(B8,'пр.взв.'!B1:H40,2,FALSE)</f>
        <v>ИБРАГИМОВ Хадис Баширович</v>
      </c>
      <c r="D8" s="272" t="str">
        <f>VLOOKUP(B8,'пр.взв.'!B1:H133,3,FALSE)</f>
        <v>21.05.95, КМС</v>
      </c>
      <c r="E8" s="242" t="str">
        <f>VLOOKUP(B8,'пр.взв.'!B1:H40,4,FALSE)</f>
        <v>С-П</v>
      </c>
      <c r="F8" s="263" t="str">
        <f>VLOOKUP(B8,'пр.взв.'!B1:H40,5,FALSE)</f>
        <v>С-Петербург, МО</v>
      </c>
      <c r="G8" s="251">
        <f>VLOOKUP(B8,'пр.взв.'!B1:H40,6,FALSE)</f>
        <v>0</v>
      </c>
      <c r="H8" s="249" t="str">
        <f>VLOOKUP(B8,'пр.взв.'!B1:H135,7,FALSE)</f>
        <v>Горохов А.В., Давиденко И.А.</v>
      </c>
      <c r="I8" s="289"/>
      <c r="J8" s="290" t="str">
        <f>MID(F8,FIND(,F8),3)</f>
        <v>С-П</v>
      </c>
      <c r="K8" s="290">
        <v>1</v>
      </c>
      <c r="L8" s="18">
        <v>3</v>
      </c>
      <c r="M8" s="22" t="s">
        <v>34</v>
      </c>
      <c r="N8" s="19">
        <f>SUMIF($J$4:$J$7,"ирк",$K$4:$K$7)</f>
        <v>0</v>
      </c>
      <c r="O8" s="19">
        <f>SUMIF($I$8:$J$9,"ирк",$K$6:$K$9)</f>
        <v>0</v>
      </c>
      <c r="P8" s="20">
        <f>SUMIF($J$10:$J$13,"ирк",$K$10:$K$13)</f>
        <v>0</v>
      </c>
      <c r="Q8" s="20">
        <f>SUMIF($J$14:$J$17,"ирк",$K$14:$K$17)</f>
        <v>0</v>
      </c>
      <c r="R8" s="289"/>
      <c r="S8" s="18">
        <v>3</v>
      </c>
      <c r="T8" s="22" t="str">
        <f>IF(OR(J10=J4,J10=J8)," ",J10)</f>
        <v>Р.Д</v>
      </c>
      <c r="U8" s="19">
        <f t="shared" si="0"/>
        <v>0</v>
      </c>
      <c r="V8" s="19">
        <f t="shared" si="1"/>
        <v>0</v>
      </c>
      <c r="W8" s="20">
        <f t="shared" si="2"/>
        <v>1</v>
      </c>
      <c r="X8" s="20">
        <f t="shared" si="3"/>
        <v>1</v>
      </c>
      <c r="Y8" s="289"/>
    </row>
    <row r="9" spans="1:25" ht="15.75">
      <c r="A9" s="278"/>
      <c r="B9" s="274"/>
      <c r="C9" s="275"/>
      <c r="D9" s="276"/>
      <c r="E9" s="243"/>
      <c r="F9" s="263"/>
      <c r="G9" s="252"/>
      <c r="H9" s="250"/>
      <c r="I9" s="289"/>
      <c r="J9" s="290"/>
      <c r="K9" s="290"/>
      <c r="L9" s="21">
        <v>4</v>
      </c>
      <c r="M9" s="22" t="s">
        <v>35</v>
      </c>
      <c r="N9" s="19">
        <f>SUMIF($J$4:$J$7,"кем",$K$4:$K$7)</f>
        <v>0</v>
      </c>
      <c r="O9" s="19">
        <f>SUMIF($I$8:$J$9,"кем",$K$6:$K$9)</f>
        <v>0</v>
      </c>
      <c r="P9" s="20">
        <f>SUMIF($J$10:$J$13,"кем",$K$10:$K$13)</f>
        <v>0</v>
      </c>
      <c r="Q9" s="20">
        <f>SUMIF($J$14:$J$17,"кем",$K$14:$K$17)</f>
        <v>0</v>
      </c>
      <c r="R9" s="289"/>
      <c r="S9" s="21">
        <v>4</v>
      </c>
      <c r="T9" s="22" t="str">
        <f>IF(OR(J12=J4,J12=J8,J12=J10)," ",J12)</f>
        <v>Мос</v>
      </c>
      <c r="U9" s="19">
        <f t="shared" si="0"/>
        <v>0</v>
      </c>
      <c r="V9" s="19">
        <f t="shared" si="1"/>
        <v>0</v>
      </c>
      <c r="W9" s="20">
        <f t="shared" si="2"/>
        <v>1</v>
      </c>
      <c r="X9" s="20">
        <f t="shared" si="3"/>
        <v>0</v>
      </c>
      <c r="Y9" s="289"/>
    </row>
    <row r="10" spans="1:25" ht="12.75" customHeight="1">
      <c r="A10" s="278">
        <v>3</v>
      </c>
      <c r="B10" s="274">
        <f>'пр.хода'!E32</f>
        <v>14</v>
      </c>
      <c r="C10" s="279" t="str">
        <f>VLOOKUP(B10,'пр.взв.'!B1:H42,2,FALSE)</f>
        <v>САИДОВ Саид Магомедович</v>
      </c>
      <c r="D10" s="272" t="str">
        <f>VLOOKUP(B10,'пр.взв.'!B1:H135,3,FALSE)</f>
        <v>24.08.94, КМС</v>
      </c>
      <c r="E10" s="242" t="str">
        <f>VLOOKUP(B10,'пр.взв.'!B1:H42,4,FALSE)</f>
        <v>СКФО</v>
      </c>
      <c r="F10" s="263" t="str">
        <f>VLOOKUP(B10,'пр.взв.'!B1:H42,5,FALSE)</f>
        <v>Р.Дагестан, Махачкала, ПР</v>
      </c>
      <c r="G10" s="251">
        <f>VLOOKUP(B10,'пр.взв.'!B1:H42,6,FALSE)</f>
        <v>0</v>
      </c>
      <c r="H10" s="249" t="str">
        <f>VLOOKUP(B10,'пр.взв.'!B1:H137,7,FALSE)</f>
        <v>Ибрагимов А.Д.</v>
      </c>
      <c r="I10" s="289"/>
      <c r="J10" s="290" t="str">
        <f>MID(F10,FIND(,F10),3)</f>
        <v>Р.Д</v>
      </c>
      <c r="K10" s="290">
        <v>1</v>
      </c>
      <c r="L10" s="18">
        <v>5</v>
      </c>
      <c r="M10" s="22" t="s">
        <v>36</v>
      </c>
      <c r="N10" s="19">
        <f>SUMIF($J$4:$J$7,"кра",$K$4:$K$7)</f>
        <v>0</v>
      </c>
      <c r="O10" s="19">
        <f>SUMIF($I$8:$J$9,"кра",$K$6:$K$9)</f>
        <v>0</v>
      </c>
      <c r="P10" s="20">
        <f>SUMIF($J$10:$J$13,"кра",$K$10:$K$13)</f>
        <v>0</v>
      </c>
      <c r="Q10" s="20">
        <f>SUMIF($J$14:$J$17,"кра",$K$14:$K$17)</f>
        <v>0</v>
      </c>
      <c r="R10" s="289"/>
      <c r="S10" s="18">
        <v>5</v>
      </c>
      <c r="T10" s="22" t="str">
        <f>IF(OR(J14=J4,J14=J8,J14=J10,J14=J12)," ",J14)</f>
        <v>Хаб</v>
      </c>
      <c r="U10" s="19">
        <f t="shared" si="0"/>
        <v>0</v>
      </c>
      <c r="V10" s="19">
        <f t="shared" si="1"/>
        <v>0</v>
      </c>
      <c r="W10" s="20">
        <f t="shared" si="2"/>
        <v>0</v>
      </c>
      <c r="X10" s="20">
        <f t="shared" si="3"/>
        <v>1</v>
      </c>
      <c r="Y10" s="289"/>
    </row>
    <row r="11" spans="1:25" ht="15.75">
      <c r="A11" s="278"/>
      <c r="B11" s="274"/>
      <c r="C11" s="275"/>
      <c r="D11" s="276"/>
      <c r="E11" s="243"/>
      <c r="F11" s="263"/>
      <c r="G11" s="252"/>
      <c r="H11" s="250"/>
      <c r="I11" s="289"/>
      <c r="J11" s="290"/>
      <c r="K11" s="290"/>
      <c r="L11" s="21">
        <v>6</v>
      </c>
      <c r="M11" s="22" t="s">
        <v>37</v>
      </c>
      <c r="N11" s="19">
        <f>SUMIF($J$4:$J$7,"нов",$K$4:$K$7)</f>
        <v>0</v>
      </c>
      <c r="O11" s="19">
        <f>SUMIF($I$8:$J$9,"нов",$K$6:$K$9)</f>
        <v>0</v>
      </c>
      <c r="P11" s="20">
        <f>SUMIF($J$10:$J$13,"нов",$K$10:$K$13)</f>
        <v>0</v>
      </c>
      <c r="Q11" s="20">
        <f>SUMIF($J$14:$J$17,"нов",$K$14:$K$17)</f>
        <v>0</v>
      </c>
      <c r="R11" s="289"/>
      <c r="S11" s="21">
        <v>6</v>
      </c>
      <c r="T11" s="22" t="str">
        <f>IF(OR(J16=J4,J16=J8,J16=J10,J16=J12,J16=J14)," ",J16)</f>
        <v> </v>
      </c>
      <c r="U11" s="19">
        <f t="shared" si="0"/>
        <v>0</v>
      </c>
      <c r="V11" s="19">
        <f t="shared" si="1"/>
        <v>0</v>
      </c>
      <c r="W11" s="20">
        <f t="shared" si="2"/>
        <v>0</v>
      </c>
      <c r="X11" s="20">
        <f t="shared" si="3"/>
        <v>0</v>
      </c>
      <c r="Y11" s="289"/>
    </row>
    <row r="12" spans="1:25" ht="12.75" customHeight="1">
      <c r="A12" s="278">
        <v>3</v>
      </c>
      <c r="B12" s="274">
        <f>'пр.хода'!Q32</f>
        <v>10</v>
      </c>
      <c r="C12" s="270" t="str">
        <f>VLOOKUP(B12,'пр.взв.'!B1:H44,2,FALSE)</f>
        <v>УДОВИЧЕНКО Михаил Владимирович</v>
      </c>
      <c r="D12" s="272" t="str">
        <f>VLOOKUP(B12,'пр.взв.'!B1:H137,3,FALSE)</f>
        <v>02.09.95, МС</v>
      </c>
      <c r="E12" s="242" t="str">
        <f>VLOOKUP(B12,'пр.взв.'!B1:H44,4,FALSE)</f>
        <v>МОС</v>
      </c>
      <c r="F12" s="263" t="str">
        <f>VLOOKUP(B12,'пр.взв.'!B1:H44,5,FALSE)</f>
        <v>Москва, ПР</v>
      </c>
      <c r="G12" s="251">
        <f>VLOOKUP(B12,'пр.взв.'!B1:H44,6,FALSE)</f>
        <v>0</v>
      </c>
      <c r="H12" s="249" t="str">
        <f>VLOOKUP(B12,'пр.взв.'!B1:H139,7,FALSE)</f>
        <v>Попов Д.В., Дамдинуурдинов В.А.</v>
      </c>
      <c r="I12" s="289"/>
      <c r="J12" s="290" t="str">
        <f>MID(F12,FIND(,F12),3)</f>
        <v>Мос</v>
      </c>
      <c r="K12" s="290">
        <v>1</v>
      </c>
      <c r="L12" s="18">
        <v>7</v>
      </c>
      <c r="M12" s="22" t="s">
        <v>38</v>
      </c>
      <c r="N12" s="19">
        <f>SUMIF($J$4:$J$7,"омс",$K$4:$K$7)</f>
        <v>0</v>
      </c>
      <c r="O12" s="19">
        <f>SUMIF($I$8:$J$9,"омс",$K$6:$K$9)</f>
        <v>0</v>
      </c>
      <c r="P12" s="20">
        <f>SUMIF($J$10:$J$13,"омс",$K$10:$K$13)</f>
        <v>0</v>
      </c>
      <c r="Q12" s="20">
        <f>SUMIF($J$14:$J$17,"омс",$K$14:$K$17)</f>
        <v>0</v>
      </c>
      <c r="R12" s="289"/>
      <c r="S12" s="18"/>
      <c r="T12" s="22" t="str">
        <f>IF(OR(J15=J7,J15=J11,J15=J13)," ",J15)</f>
        <v> </v>
      </c>
      <c r="U12" s="19"/>
      <c r="V12" s="19"/>
      <c r="W12" s="20"/>
      <c r="X12" s="20"/>
      <c r="Y12" s="289"/>
    </row>
    <row r="13" spans="1:25" ht="15.75">
      <c r="A13" s="278"/>
      <c r="B13" s="274"/>
      <c r="C13" s="275"/>
      <c r="D13" s="276"/>
      <c r="E13" s="243"/>
      <c r="F13" s="263"/>
      <c r="G13" s="252"/>
      <c r="H13" s="250"/>
      <c r="I13" s="289"/>
      <c r="J13" s="290"/>
      <c r="K13" s="290"/>
      <c r="L13" s="21">
        <v>8</v>
      </c>
      <c r="M13" s="22" t="s">
        <v>39</v>
      </c>
      <c r="N13" s="19">
        <f>SUMIF($J$4:$J$7,"р.а",$K$4:$K$7)</f>
        <v>0</v>
      </c>
      <c r="O13" s="19">
        <f>SUMIF($I$8:$J$9,"р.а",$K$6:$K$9)</f>
        <v>0</v>
      </c>
      <c r="P13" s="20">
        <f>SUMIF($J$10:$J$13,"р.а",$K$10:$K$13)</f>
        <v>0</v>
      </c>
      <c r="Q13" s="20">
        <f>SUMIF($J$14:$J$17,"р.а",$K$14:$K$17)</f>
        <v>0</v>
      </c>
      <c r="R13" s="289"/>
      <c r="S13" s="21"/>
      <c r="T13" s="24" t="str">
        <f>IF(OR(J16=J8,J16=J12,J16=J14)," ",J16)</f>
        <v>Р.Д</v>
      </c>
      <c r="U13" s="19"/>
      <c r="V13" s="19"/>
      <c r="W13" s="20"/>
      <c r="X13" s="20"/>
      <c r="Y13" s="289"/>
    </row>
    <row r="14" spans="1:25" ht="12.75" customHeight="1">
      <c r="A14" s="277">
        <v>5</v>
      </c>
      <c r="B14" s="274">
        <f>'пр.хода'!AA25</f>
        <v>9</v>
      </c>
      <c r="C14" s="270" t="str">
        <f>VLOOKUP(B14,'пр.взв.'!B1:H46,2,FALSE)</f>
        <v>ИВАНОВ Степан Сергеевич</v>
      </c>
      <c r="D14" s="272" t="str">
        <f>VLOOKUP(B14,'пр.взв.'!B1:H139,3,FALSE)</f>
        <v>28.12.92, КМС</v>
      </c>
      <c r="E14" s="242" t="str">
        <f>VLOOKUP(B14,'пр.взв.'!B1:H46,4,FALSE)</f>
        <v>ДВФО</v>
      </c>
      <c r="F14" s="263" t="str">
        <f>VLOOKUP(B14,'пр.взв.'!B1:H46,5,FALSE)</f>
        <v>Хабаровский, Хабаровск, ПР</v>
      </c>
      <c r="G14" s="251">
        <f>VLOOKUP(B14,'пр.взв.'!B1:H46,6,FALSE)</f>
        <v>0</v>
      </c>
      <c r="H14" s="249" t="str">
        <f>VLOOKUP(B14,'пр.взв.'!B1:H141,7,FALSE)</f>
        <v>Куликов И.В.</v>
      </c>
      <c r="I14" s="289"/>
      <c r="J14" s="290" t="str">
        <f>MID(F14,FIND(,F14),3)</f>
        <v>Хаб</v>
      </c>
      <c r="K14" s="290">
        <v>1</v>
      </c>
      <c r="L14" s="18">
        <v>9</v>
      </c>
      <c r="M14" s="22" t="s">
        <v>40</v>
      </c>
      <c r="N14" s="19">
        <f>SUMIF($J$4:$J$7,"р.б",$K$4:$K$7)</f>
        <v>0</v>
      </c>
      <c r="O14" s="19">
        <f>SUMIF($I$8:$J$9,"р.б",$K$6:$K$9)</f>
        <v>0</v>
      </c>
      <c r="P14" s="20">
        <f>SUMIF($J$10:$J$13,"р.б",$K$10:$K$13)</f>
        <v>0</v>
      </c>
      <c r="Q14" s="20">
        <f>SUMIF($J$14:$J$17,"р.б",$K$14:$K$17)</f>
        <v>0</v>
      </c>
      <c r="R14" s="289"/>
      <c r="S14" s="18"/>
      <c r="T14" s="22"/>
      <c r="U14" s="19"/>
      <c r="V14" s="19"/>
      <c r="W14" s="20"/>
      <c r="X14" s="20"/>
      <c r="Y14" s="289"/>
    </row>
    <row r="15" spans="1:25" ht="15.75">
      <c r="A15" s="277"/>
      <c r="B15" s="274"/>
      <c r="C15" s="275"/>
      <c r="D15" s="276"/>
      <c r="E15" s="243"/>
      <c r="F15" s="263"/>
      <c r="G15" s="252"/>
      <c r="H15" s="250"/>
      <c r="I15" s="289"/>
      <c r="J15" s="290"/>
      <c r="K15" s="290"/>
      <c r="L15" s="21">
        <v>10</v>
      </c>
      <c r="M15" s="22" t="s">
        <v>41</v>
      </c>
      <c r="N15" s="19">
        <f>SUMIF($J$4:$J$7,"р.х",$K$4:$K$7)</f>
        <v>0</v>
      </c>
      <c r="O15" s="19">
        <f>SUMIF($I$8:$J$9,"р.х",$K$6:$K$9)</f>
        <v>0</v>
      </c>
      <c r="P15" s="20">
        <f>SUMIF($J$10:$J$13,"р.х",$K$10:$K$13)</f>
        <v>0</v>
      </c>
      <c r="Q15" s="20">
        <f>SUMIF($J$14:$J$17,"р.х",$K$14:$K$17)</f>
        <v>0</v>
      </c>
      <c r="R15" s="289"/>
      <c r="S15" s="21"/>
      <c r="T15" s="22"/>
      <c r="U15" s="19"/>
      <c r="V15" s="19"/>
      <c r="W15" s="20"/>
      <c r="X15" s="20"/>
      <c r="Y15" s="289"/>
    </row>
    <row r="16" spans="1:25" ht="12.75" customHeight="1">
      <c r="A16" s="277">
        <v>5</v>
      </c>
      <c r="B16" s="274">
        <f>'пр.хода'!AA26</f>
        <v>13</v>
      </c>
      <c r="C16" s="270" t="str">
        <f>VLOOKUP(B16,'пр.взв.'!B1:H48,2,FALSE)</f>
        <v>АЛИЕВ Султан Магомедбегович</v>
      </c>
      <c r="D16" s="272" t="str">
        <f>VLOOKUP(B16,'пр.взв.'!B1:H141,3,FALSE)</f>
        <v>17.09.84, МСМК</v>
      </c>
      <c r="E16" s="242" t="str">
        <f>VLOOKUP(B16,'пр.взв.'!B1:H48,4,FALSE)</f>
        <v>СКФО</v>
      </c>
      <c r="F16" s="263" t="str">
        <f>VLOOKUP(B16,'пр.взв.'!B1:H48,5,FALSE)</f>
        <v>Р.Дагестан, Махачкала, ПР</v>
      </c>
      <c r="G16" s="251">
        <f>VLOOKUP(B16,'пр.взв.'!B1:H48,6,FALSE)</f>
        <v>0</v>
      </c>
      <c r="H16" s="249" t="str">
        <f>VLOOKUP(B16,'пр.взв.'!B1:H143,7,FALSE)</f>
        <v>Булатов К.Х., Булатов Г.А.</v>
      </c>
      <c r="I16" s="289"/>
      <c r="J16" s="290" t="str">
        <f>MID(F16,FIND(,F16),3)</f>
        <v>Р.Д</v>
      </c>
      <c r="K16" s="290">
        <v>1</v>
      </c>
      <c r="L16" s="18">
        <v>11</v>
      </c>
      <c r="M16" s="23" t="s">
        <v>42</v>
      </c>
      <c r="N16" s="19">
        <f>SUMIF($J$4:$J$7,"том",$K$4:$K$7)</f>
        <v>0</v>
      </c>
      <c r="O16" s="19">
        <f>SUMIF($I$8:$J$9,"том",$K$6:$K$9)</f>
        <v>0</v>
      </c>
      <c r="P16" s="20">
        <f>SUMIF($J$10:$J$13,"том",$K$10:$K$13)</f>
        <v>0</v>
      </c>
      <c r="Q16" s="20">
        <f>SUMIF($J$14:$J$17,"том",$K$14:$K$17)</f>
        <v>0</v>
      </c>
      <c r="R16" s="289"/>
      <c r="S16" s="18"/>
      <c r="T16" s="23"/>
      <c r="U16" s="19"/>
      <c r="V16" s="19"/>
      <c r="W16" s="20"/>
      <c r="X16" s="20"/>
      <c r="Y16" s="289"/>
    </row>
    <row r="17" spans="1:25" ht="16.5" thickBot="1">
      <c r="A17" s="277"/>
      <c r="B17" s="274"/>
      <c r="C17" s="275"/>
      <c r="D17" s="276"/>
      <c r="E17" s="243"/>
      <c r="F17" s="263"/>
      <c r="G17" s="252"/>
      <c r="H17" s="250"/>
      <c r="I17" s="289"/>
      <c r="J17" s="290"/>
      <c r="K17" s="290"/>
      <c r="L17" s="21">
        <v>12</v>
      </c>
      <c r="M17" s="23" t="s">
        <v>43</v>
      </c>
      <c r="N17" s="19">
        <f>SUMIF($J$4:$J$7,"",$K$4:$K$7)</f>
        <v>0</v>
      </c>
      <c r="O17" s="19">
        <f>SUMIF($I$8:$J$9,"т",$K$6:$K$9)</f>
        <v>0</v>
      </c>
      <c r="P17" s="20">
        <f>SUMIF($J$10:$J$13,"",$K$10:$K$13)</f>
        <v>0</v>
      </c>
      <c r="Q17" s="20">
        <f>SUMIF($J$14:$J$17,"",$K$14:$K$17)</f>
        <v>0</v>
      </c>
      <c r="R17" s="289"/>
      <c r="S17" s="21"/>
      <c r="T17" s="23"/>
      <c r="U17" s="19"/>
      <c r="V17" s="19"/>
      <c r="W17" s="20"/>
      <c r="X17" s="20"/>
      <c r="Y17" s="289"/>
    </row>
    <row r="18" spans="1:25" ht="12.75" customHeight="1" thickBot="1">
      <c r="A18" s="266" t="s">
        <v>20</v>
      </c>
      <c r="B18" s="274">
        <f>'пр.хода'!AA27</f>
        <v>15</v>
      </c>
      <c r="C18" s="270" t="str">
        <f>VLOOKUP(B18,'пр.взв.'!B1:H50,2,FALSE)</f>
        <v>ГАДЖИЯСУЛОВ Магомед Рашидович</v>
      </c>
      <c r="D18" s="272" t="str">
        <f>VLOOKUP(B18,'пр.взв.'!B1:H143,3,FALSE)</f>
        <v>04.11.93, КМС</v>
      </c>
      <c r="E18" s="242" t="str">
        <f>VLOOKUP(B18,'пр.взв.'!B1:H50,4,FALSE)</f>
        <v>МОС</v>
      </c>
      <c r="F18" s="263" t="str">
        <f>VLOOKUP(B18,'пр.взв.'!B1:H50,5,FALSE)</f>
        <v>Москва, ПР</v>
      </c>
      <c r="G18" s="251">
        <f>VLOOKUP(B18,'пр.взв.'!B1:H50,6,FALSE)</f>
        <v>0</v>
      </c>
      <c r="H18" s="249" t="str">
        <f>VLOOKUP(B18,'пр.взв.'!B1:H145,7,FALSE)</f>
        <v>Елесин Н.А., Гаджиев К.А.</v>
      </c>
      <c r="I18" s="289"/>
      <c r="J18" s="289"/>
      <c r="K18" s="289"/>
      <c r="L18" s="304"/>
      <c r="M18" s="305"/>
      <c r="N18" s="306">
        <f>SUM(N6:N17)</f>
        <v>0</v>
      </c>
      <c r="O18" s="306">
        <f>SUM(O6:O17)</f>
        <v>0</v>
      </c>
      <c r="P18" s="306">
        <f>SUM(P6:P17)</f>
        <v>0</v>
      </c>
      <c r="Q18" s="306">
        <f>SUM(Q6:Q17)</f>
        <v>0</v>
      </c>
      <c r="R18" s="289"/>
      <c r="S18" s="304"/>
      <c r="T18" s="305"/>
      <c r="U18" s="306">
        <f>SUM(U6:U17)</f>
        <v>1</v>
      </c>
      <c r="V18" s="306">
        <f>SUM(V6:V17)</f>
        <v>1</v>
      </c>
      <c r="W18" s="306">
        <f>SUM(W6:W17)</f>
        <v>2</v>
      </c>
      <c r="X18" s="306">
        <f>SUM(X6:X17)</f>
        <v>2</v>
      </c>
      <c r="Y18" s="289"/>
    </row>
    <row r="19" spans="1:25" ht="12.75">
      <c r="A19" s="266"/>
      <c r="B19" s="274"/>
      <c r="C19" s="275"/>
      <c r="D19" s="276"/>
      <c r="E19" s="243"/>
      <c r="F19" s="263"/>
      <c r="G19" s="252"/>
      <c r="H19" s="250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</row>
    <row r="20" spans="1:8" ht="12.75" customHeight="1">
      <c r="A20" s="266" t="s">
        <v>20</v>
      </c>
      <c r="B20" s="274">
        <f>'пр.хода'!AA28</f>
        <v>16</v>
      </c>
      <c r="C20" s="270" t="str">
        <f>VLOOKUP(B20,'пр.взв.'!B2:H52,2,FALSE)</f>
        <v>ВОЛЬСКИЙ Руслан Дмитриевич</v>
      </c>
      <c r="D20" s="272" t="str">
        <f>VLOOKUP(B20,'пр.взв.'!B2:H145,3,FALSE)</f>
        <v>27.09.92, МС</v>
      </c>
      <c r="E20" s="242" t="str">
        <f>VLOOKUP(B20,'пр.взв.'!B2:H52,4,FALSE)</f>
        <v>СЗФО</v>
      </c>
      <c r="F20" s="263" t="str">
        <f>VLOOKUP(B20,'пр.взв.'!B2:H52,5,FALSE)</f>
        <v>Вологодская</v>
      </c>
      <c r="G20" s="251">
        <f>VLOOKUP(B20,'пр.взв.'!B2:H52,6,FALSE)</f>
        <v>0</v>
      </c>
      <c r="H20" s="249" t="str">
        <f>VLOOKUP(B20,'пр.взв.'!B2:H147,7,FALSE)</f>
        <v>Вольскийт Д.К.</v>
      </c>
    </row>
    <row r="21" spans="1:8" ht="12.75">
      <c r="A21" s="266"/>
      <c r="B21" s="274"/>
      <c r="C21" s="275"/>
      <c r="D21" s="276"/>
      <c r="E21" s="243"/>
      <c r="F21" s="263"/>
      <c r="G21" s="252"/>
      <c r="H21" s="250"/>
    </row>
    <row r="22" spans="1:8" ht="12.75" customHeight="1">
      <c r="A22" s="266" t="s">
        <v>27</v>
      </c>
      <c r="B22" s="274">
        <f>'пр.хода'!Z25</f>
        <v>5</v>
      </c>
      <c r="C22" s="270" t="str">
        <f>VLOOKUP(B22,'пр.взв.'!B2:H54,2,FALSE)</f>
        <v>ЯКУБЕНЯ Виталий Русланович</v>
      </c>
      <c r="D22" s="272" t="str">
        <f>VLOOKUP(B22,'пр.взв.'!B2:H147,3,FALSE)</f>
        <v>21.03.95, КМС</v>
      </c>
      <c r="E22" s="242" t="str">
        <f>VLOOKUP(B22,'пр.взв.'!B2:H54,4,FALSE)</f>
        <v>С-П</v>
      </c>
      <c r="F22" s="263" t="str">
        <f>VLOOKUP(B22,'пр.взв.'!B2:H54,5,FALSE)</f>
        <v>С-Петербург, МО</v>
      </c>
      <c r="G22" s="251">
        <f>VLOOKUP(B22,'пр.взв.'!B2:H54,6,FALSE)</f>
        <v>0</v>
      </c>
      <c r="H22" s="249" t="str">
        <f>VLOOKUP(B22,'пр.взв.'!B2:H149,7,FALSE)</f>
        <v>Коршунов А.И.</v>
      </c>
    </row>
    <row r="23" spans="1:8" ht="12.75">
      <c r="A23" s="266"/>
      <c r="B23" s="274"/>
      <c r="C23" s="275"/>
      <c r="D23" s="276"/>
      <c r="E23" s="243"/>
      <c r="F23" s="263"/>
      <c r="G23" s="252"/>
      <c r="H23" s="250"/>
    </row>
    <row r="24" spans="1:8" ht="12.75" customHeight="1">
      <c r="A24" s="266" t="s">
        <v>27</v>
      </c>
      <c r="B24" s="274">
        <f>'пр.хода'!Z26</f>
        <v>6</v>
      </c>
      <c r="C24" s="270" t="str">
        <f>VLOOKUP(B24,'пр.взв.'!B2:H56,2,FALSE)</f>
        <v>ГУСЕЙНОВ Артут Алаутдинович</v>
      </c>
      <c r="D24" s="272" t="str">
        <f>VLOOKUP(B24,'пр.взв.'!B2:H149,3,FALSE)</f>
        <v>08.03.85, КМС</v>
      </c>
      <c r="E24" s="242" t="str">
        <f>VLOOKUP(B24,'пр.взв.'!B2:H56,4,FALSE)</f>
        <v>С-П</v>
      </c>
      <c r="F24" s="263" t="str">
        <f>VLOOKUP(B24,'пр.взв.'!B2:H56,5,FALSE)</f>
        <v>С-Петербург, МО</v>
      </c>
      <c r="G24" s="251">
        <f>VLOOKUP(B24,'пр.взв.'!B2:H56,6,FALSE)</f>
        <v>0</v>
      </c>
      <c r="H24" s="249" t="str">
        <f>VLOOKUP(B24,'пр.взв.'!B2:H151,7,FALSE)</f>
        <v>Коршунов А.И.</v>
      </c>
    </row>
    <row r="25" spans="1:8" ht="12.75">
      <c r="A25" s="266"/>
      <c r="B25" s="274"/>
      <c r="C25" s="275"/>
      <c r="D25" s="276"/>
      <c r="E25" s="243"/>
      <c r="F25" s="263"/>
      <c r="G25" s="252"/>
      <c r="H25" s="250"/>
    </row>
    <row r="26" spans="1:8" ht="12.75" customHeight="1">
      <c r="A26" s="266" t="s">
        <v>27</v>
      </c>
      <c r="B26" s="274">
        <f>'пр.хода'!Z27</f>
        <v>3</v>
      </c>
      <c r="C26" s="270" t="str">
        <f>VLOOKUP(B26,'пр.взв.'!B2:H58,2,FALSE)</f>
        <v>КАРЛИН Николай Иванович</v>
      </c>
      <c r="D26" s="272" t="str">
        <f>VLOOKUP(B26,'пр.взв.'!B2:H151,3,FALSE)</f>
        <v>14.07.87. КМС</v>
      </c>
      <c r="E26" s="242" t="str">
        <f>VLOOKUP(B26,'пр.взв.'!B2:H58,4,FALSE)</f>
        <v>СФО</v>
      </c>
      <c r="F26" s="263" t="str">
        <f>VLOOKUP(B26,'пр.взв.'!B2:H58,5,FALSE)</f>
        <v>Алтайский, Барнаул, МО</v>
      </c>
      <c r="G26" s="251">
        <f>VLOOKUP(B26,'пр.взв.'!B2:H58,6,FALSE)</f>
        <v>0</v>
      </c>
      <c r="H26" s="249" t="str">
        <f>VLOOKUP(B26,'пр.взв.'!B2:H153,7,FALSE)</f>
        <v>Карлин Н.И.</v>
      </c>
    </row>
    <row r="27" spans="1:8" ht="12.75">
      <c r="A27" s="266"/>
      <c r="B27" s="274"/>
      <c r="C27" s="275"/>
      <c r="D27" s="276"/>
      <c r="E27" s="243"/>
      <c r="F27" s="263"/>
      <c r="G27" s="252"/>
      <c r="H27" s="250"/>
    </row>
    <row r="28" spans="1:8" ht="12.75">
      <c r="A28" s="266" t="s">
        <v>27</v>
      </c>
      <c r="B28" s="274">
        <f>'пр.хода'!Z28</f>
        <v>12</v>
      </c>
      <c r="C28" s="270" t="str">
        <f>VLOOKUP(B28,'пр.взв.'!B2:H60,2,FALSE)</f>
        <v>ЛЫЧКОВСКИЙ Дмитрий Олегович</v>
      </c>
      <c r="D28" s="272" t="str">
        <f>VLOOKUP(B28,'пр.взв.'!B2:H153,3,FALSE)</f>
        <v>20.06..94, КМС</v>
      </c>
      <c r="E28" s="242" t="str">
        <f>VLOOKUP(B28,'пр.взв.'!B2:H60,4,FALSE)</f>
        <v>СФО</v>
      </c>
      <c r="F28" s="263" t="str">
        <f>VLOOKUP(B28,'пр.взв.'!B2:H60,5,FALSE)</f>
        <v>Красноярский, Красноярск. МО</v>
      </c>
      <c r="G28" s="251">
        <f>VLOOKUP(B28,'пр.взв.'!B2:H60,6,FALSE)</f>
        <v>0</v>
      </c>
      <c r="H28" s="249" t="str">
        <f>VLOOKUP(B28,'пр.взв.'!B2:H155,7,FALSE)</f>
        <v>Многогрешнов Н.Г.Знаменский ГВ</v>
      </c>
    </row>
    <row r="29" spans="1:8" ht="12.75">
      <c r="A29" s="266"/>
      <c r="B29" s="274"/>
      <c r="C29" s="275"/>
      <c r="D29" s="276"/>
      <c r="E29" s="243"/>
      <c r="F29" s="263"/>
      <c r="G29" s="252"/>
      <c r="H29" s="250"/>
    </row>
    <row r="30" spans="1:8" ht="12.75">
      <c r="A30" s="266" t="s">
        <v>28</v>
      </c>
      <c r="B30" s="274">
        <f>'пр.хода'!Z29</f>
        <v>1</v>
      </c>
      <c r="C30" s="270" t="str">
        <f>VLOOKUP(B30,'пр.взв.'!B3:H62,2,FALSE)</f>
        <v>КУДРЯШОВ Юрий Евгеньевич</v>
      </c>
      <c r="D30" s="272" t="str">
        <f>VLOOKUP(B30,'пр.взв.'!B3:H155,3,FALSE)</f>
        <v>14.10.88, КМС</v>
      </c>
      <c r="E30" s="242" t="str">
        <f>VLOOKUP(B30,'пр.взв.'!B3:H62,4,FALSE)</f>
        <v>СЗФО</v>
      </c>
      <c r="F30" s="263" t="str">
        <f>VLOOKUP(B30,'пр.взв.'!B3:H62,5,FALSE)</f>
        <v>Вологодская</v>
      </c>
      <c r="G30" s="251">
        <f>VLOOKUP(B30,'пр.взв.'!B3:H62,6,FALSE)</f>
        <v>0</v>
      </c>
      <c r="H30" s="249" t="str">
        <f>VLOOKUP(B30,'пр.взв.'!B3:H157,7,FALSE)</f>
        <v>Тчанников А.Н.</v>
      </c>
    </row>
    <row r="31" spans="1:8" ht="12.75">
      <c r="A31" s="266"/>
      <c r="B31" s="274"/>
      <c r="C31" s="275"/>
      <c r="D31" s="276"/>
      <c r="E31" s="243"/>
      <c r="F31" s="263"/>
      <c r="G31" s="252"/>
      <c r="H31" s="250"/>
    </row>
    <row r="32" spans="1:8" ht="12.75">
      <c r="A32" s="266" t="s">
        <v>28</v>
      </c>
      <c r="B32" s="274">
        <f>'пр.хода'!Z30</f>
        <v>2</v>
      </c>
      <c r="C32" s="270" t="str">
        <f>VLOOKUP(B32,'пр.взв.'!B3:H64,2,FALSE)</f>
        <v>ГАЛЯМОВ Ктрилл Николаевич</v>
      </c>
      <c r="D32" s="272" t="str">
        <f>VLOOKUP(B32,'пр.взв.'!B3:H157,3,FALSE)</f>
        <v>31.10.95, КМС</v>
      </c>
      <c r="E32" s="242" t="str">
        <f>VLOOKUP(B32,'пр.взв.'!B3:H64,4,FALSE)</f>
        <v>УФО</v>
      </c>
      <c r="F32" s="263" t="str">
        <f>VLOOKUP(B32,'пр.взв.'!B3:H64,5,FALSE)</f>
        <v>Челябинская, Челябинск</v>
      </c>
      <c r="G32" s="251">
        <f>VLOOKUP(B32,'пр.взв.'!B3:H64,6,FALSE)</f>
        <v>0</v>
      </c>
      <c r="H32" s="249" t="str">
        <f>VLOOKUP(B32,'пр.взв.'!B3:H159,7,FALSE)</f>
        <v>Якупов Р.Т., Клочков С.Ю.</v>
      </c>
    </row>
    <row r="33" spans="1:8" ht="12.75">
      <c r="A33" s="266"/>
      <c r="B33" s="274"/>
      <c r="C33" s="275"/>
      <c r="D33" s="276"/>
      <c r="E33" s="243"/>
      <c r="F33" s="263"/>
      <c r="G33" s="252"/>
      <c r="H33" s="250"/>
    </row>
    <row r="34" spans="1:8" ht="12.75">
      <c r="A34" s="266" t="s">
        <v>28</v>
      </c>
      <c r="B34" s="274">
        <f>'пр.хода'!Z31</f>
        <v>11</v>
      </c>
      <c r="C34" s="270" t="str">
        <f>VLOOKUP(B34,'пр.взв.'!B3:H66,2,FALSE)</f>
        <v>МАКСУТОВ Руслан Рифатович</v>
      </c>
      <c r="D34" s="272" t="str">
        <f>VLOOKUP(B34,'пр.взв.'!B3:H159,3,FALSE)</f>
        <v>15.12.96, КМС</v>
      </c>
      <c r="E34" s="242" t="str">
        <f>VLOOKUP(B34,'пр.взв.'!B3:H66,4,FALSE)</f>
        <v>С-П</v>
      </c>
      <c r="F34" s="263" t="str">
        <f>VLOOKUP(B34,'пр.взв.'!B3:H66,5,FALSE)</f>
        <v>С-Петербург, МО</v>
      </c>
      <c r="G34" s="251">
        <f>VLOOKUP(B34,'пр.взв.'!B3:H66,6,FALSE)</f>
        <v>0</v>
      </c>
      <c r="H34" s="249" t="str">
        <f>VLOOKUP(B34,'пр.взв.'!B3:H161,7,FALSE)</f>
        <v>Давиденко И.А.</v>
      </c>
    </row>
    <row r="35" spans="1:8" ht="12.75">
      <c r="A35" s="266"/>
      <c r="B35" s="274"/>
      <c r="C35" s="275"/>
      <c r="D35" s="276"/>
      <c r="E35" s="243"/>
      <c r="F35" s="263"/>
      <c r="G35" s="252"/>
      <c r="H35" s="250"/>
    </row>
    <row r="36" spans="1:8" ht="12.75">
      <c r="A36" s="266" t="s">
        <v>28</v>
      </c>
      <c r="B36" s="268">
        <f>'пр.хода'!Z32</f>
        <v>8</v>
      </c>
      <c r="C36" s="270" t="str">
        <f>VLOOKUP(B36,'пр.взв.'!B3:H68,2,FALSE)</f>
        <v>ДЕМЕНТЬЕВ Владислав Алексеевич</v>
      </c>
      <c r="D36" s="272" t="str">
        <f>VLOOKUP(B36,'пр.взв.'!B3:H161,3,FALSE)</f>
        <v>14.08.96, КМС</v>
      </c>
      <c r="E36" s="242" t="str">
        <f>VLOOKUP(B36,'пр.взв.'!B3:H68,4,FALSE)</f>
        <v>С-П</v>
      </c>
      <c r="F36" s="263" t="str">
        <f>VLOOKUP(B36,'пр.взв.'!B3:H68,5,FALSE)</f>
        <v>С-Петербург, Д</v>
      </c>
      <c r="G36" s="251">
        <f>VLOOKUP(B36,'пр.взв.'!B3:H68,6,FALSE)</f>
        <v>0</v>
      </c>
      <c r="H36" s="249" t="str">
        <f>VLOOKUP(B36,'пр.взв.'!B3:H163,7,FALSE)</f>
        <v>Алимов А.Г., Костин А.В.</v>
      </c>
    </row>
    <row r="37" spans="1:8" ht="13.5" thickBot="1">
      <c r="A37" s="267"/>
      <c r="B37" s="269"/>
      <c r="C37" s="271"/>
      <c r="D37" s="273"/>
      <c r="E37" s="262"/>
      <c r="F37" s="264"/>
      <c r="G37" s="261"/>
      <c r="H37" s="255"/>
    </row>
    <row r="40" spans="1:7" ht="15">
      <c r="A40" s="9" t="str">
        <f>'[1]реквизиты'!$A$6</f>
        <v>Гл. судья, судья МК</v>
      </c>
      <c r="B40" s="10"/>
      <c r="C40" s="11"/>
      <c r="D40" s="13"/>
      <c r="E40" s="13"/>
      <c r="F40" s="13"/>
      <c r="G40" s="12" t="str">
        <f>'[1]реквизиты'!$G$7</f>
        <v>Н.Н.Малышев</v>
      </c>
    </row>
    <row r="41" spans="1:7" ht="15">
      <c r="A41" s="10"/>
      <c r="B41" s="10"/>
      <c r="C41" s="11"/>
      <c r="D41" s="13"/>
      <c r="E41" s="13"/>
      <c r="F41" s="13"/>
      <c r="G41" s="14" t="str">
        <f>'[1]реквизиты'!$G$8</f>
        <v>/г.Дубна/</v>
      </c>
    </row>
    <row r="42" spans="1:7" ht="15">
      <c r="A42" s="10"/>
      <c r="B42" s="10"/>
      <c r="C42" s="11"/>
      <c r="D42" s="13"/>
      <c r="E42" s="13"/>
      <c r="F42" s="13"/>
      <c r="G42" s="13"/>
    </row>
    <row r="43" spans="1:7" ht="15">
      <c r="A43" s="9" t="str">
        <f>'пр.хода'!A40</f>
        <v>Гл. секретарь, судья МК</v>
      </c>
      <c r="B43" s="10"/>
      <c r="C43" s="11"/>
      <c r="D43" s="13"/>
      <c r="E43" s="13"/>
      <c r="F43" s="13"/>
      <c r="G43" s="15" t="str">
        <f>'[1]реквизиты'!$G$9</f>
        <v>С.М.Трескин</v>
      </c>
    </row>
    <row r="44" spans="1:8" ht="15">
      <c r="A44" s="10"/>
      <c r="B44" s="10"/>
      <c r="C44" s="10"/>
      <c r="D44" s="13"/>
      <c r="E44" s="13"/>
      <c r="F44" s="13"/>
      <c r="G44" s="14" t="str">
        <f>'[1]реквизиты'!$G$10</f>
        <v>/г.Бийск/</v>
      </c>
      <c r="H44" s="2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</sheetData>
  <sheetProtection/>
  <mergeCells count="15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2016-02-10T12:52:27Z</cp:lastPrinted>
  <dcterms:created xsi:type="dcterms:W3CDTF">1996-10-08T23:32:33Z</dcterms:created>
  <dcterms:modified xsi:type="dcterms:W3CDTF">2016-02-10T15:24:05Z</dcterms:modified>
  <cp:category/>
  <cp:version/>
  <cp:contentType/>
  <cp:contentStatus/>
</cp:coreProperties>
</file>